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workbookProtection workbookAlgorithmName="SHA-512" workbookHashValue="vFIqmKQs1LL4eFJz+cnzPYViacX9hrhj7qkbR8xnRbFOp6wCuwiwyRNO0KFiTfp8MyXtBjsw+ZGXBLY0djpKZg==" workbookSaltValue="1HRuQtZVOSV+XKajMxHDug==" workbookSpinCount="100000" lockStructure="1"/>
  <bookViews>
    <workbookView xWindow="0" yWindow="0" windowWidth="14400" windowHeight="1740"/>
  </bookViews>
  <sheets>
    <sheet name="Calculator" sheetId="4" r:id="rId1"/>
    <sheet name="Menus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4" l="1"/>
  <c r="B13" i="4"/>
  <c r="D19" i="4"/>
  <c r="U54" i="4" l="1"/>
  <c r="T39" i="4"/>
  <c r="S42" i="4"/>
  <c r="S43" i="4" s="1"/>
  <c r="S44" i="4" s="1"/>
  <c r="S45" i="4" s="1"/>
  <c r="S46" i="4" s="1"/>
  <c r="S47" i="4" s="1"/>
  <c r="S48" i="4" s="1"/>
  <c r="S49" i="4" s="1"/>
  <c r="S50" i="4" s="1"/>
  <c r="U57" i="4" l="1"/>
  <c r="T36" i="4" s="1"/>
  <c r="N49" i="4" l="1"/>
  <c r="N50" i="4" s="1"/>
  <c r="N51" i="4" s="1"/>
  <c r="N27" i="4"/>
  <c r="O48" i="4" l="1"/>
  <c r="P26" i="4"/>
  <c r="O49" i="4"/>
  <c r="L4" i="4"/>
  <c r="C19" i="4" s="1"/>
  <c r="C5" i="4"/>
  <c r="H27" i="4" s="1"/>
  <c r="H50" i="4" l="1"/>
  <c r="I48" i="4"/>
  <c r="J48" i="4" s="1"/>
  <c r="I49" i="4"/>
  <c r="J49" i="4" s="1"/>
  <c r="I50" i="4"/>
  <c r="L6" i="4"/>
  <c r="L7" i="4" s="1"/>
  <c r="C23" i="4" s="1"/>
  <c r="I26" i="4"/>
  <c r="C31" i="4"/>
  <c r="C38" i="4"/>
  <c r="C34" i="4"/>
  <c r="C33" i="4"/>
  <c r="C32" i="4"/>
  <c r="C35" i="4"/>
  <c r="C37" i="4"/>
  <c r="C36" i="4"/>
  <c r="S9" i="4"/>
  <c r="H38" i="4"/>
  <c r="H34" i="4"/>
  <c r="H30" i="4"/>
  <c r="H37" i="4"/>
  <c r="H33" i="4"/>
  <c r="H29" i="4"/>
  <c r="H36" i="4"/>
  <c r="H32" i="4"/>
  <c r="H28" i="4"/>
  <c r="H35" i="4"/>
  <c r="H31" i="4"/>
  <c r="C29" i="4"/>
  <c r="C26" i="4"/>
  <c r="C30" i="4"/>
  <c r="C28" i="4"/>
  <c r="C27" i="4"/>
  <c r="S8" i="4"/>
  <c r="J50" i="4" l="1"/>
  <c r="S10" i="4"/>
  <c r="S11" i="4" s="1"/>
  <c r="S12" i="4" s="1"/>
  <c r="L27" i="4" s="1"/>
  <c r="I27" i="4" l="1"/>
  <c r="N28" i="4"/>
  <c r="P27" i="4" s="1"/>
  <c r="O26" i="4"/>
  <c r="D26" i="4"/>
  <c r="E26" i="4" s="1"/>
  <c r="N52" i="4" l="1"/>
  <c r="N53" i="4" s="1"/>
  <c r="O50" i="4"/>
  <c r="I51" i="4"/>
  <c r="H51" i="4"/>
  <c r="N29" i="4"/>
  <c r="P28" i="4" s="1"/>
  <c r="I28" i="4"/>
  <c r="J28" i="4" s="1"/>
  <c r="L28" i="4"/>
  <c r="L29" i="4" s="1"/>
  <c r="D27" i="4"/>
  <c r="E27" i="4" s="1"/>
  <c r="N54" i="4" l="1"/>
  <c r="N55" i="4" s="1"/>
  <c r="O51" i="4"/>
  <c r="J51" i="4"/>
  <c r="H52" i="4"/>
  <c r="I52" i="4"/>
  <c r="I29" i="4"/>
  <c r="J29" i="4" s="1"/>
  <c r="N30" i="4"/>
  <c r="N31" i="4" s="1"/>
  <c r="I31" i="4" s="1"/>
  <c r="O27" i="4"/>
  <c r="O28" i="4" s="1"/>
  <c r="D28" i="4"/>
  <c r="J26" i="4"/>
  <c r="J52" i="4" l="1"/>
  <c r="O53" i="4"/>
  <c r="H53" i="4"/>
  <c r="I53" i="4"/>
  <c r="O52" i="4"/>
  <c r="I30" i="4"/>
  <c r="J30" i="4" s="1"/>
  <c r="P29" i="4"/>
  <c r="P30" i="4" s="1"/>
  <c r="L30" i="4"/>
  <c r="D29" i="4"/>
  <c r="N32" i="4"/>
  <c r="N33" i="4" s="1"/>
  <c r="J27" i="4"/>
  <c r="J53" i="4" l="1"/>
  <c r="H54" i="4"/>
  <c r="I54" i="4"/>
  <c r="L31" i="4"/>
  <c r="O30" i="4" s="1"/>
  <c r="O29" i="4"/>
  <c r="I33" i="4"/>
  <c r="P31" i="4"/>
  <c r="P32" i="4" s="1"/>
  <c r="D30" i="4"/>
  <c r="I32" i="4"/>
  <c r="J31" i="4"/>
  <c r="E28" i="4"/>
  <c r="J54" i="4" l="1"/>
  <c r="N56" i="4"/>
  <c r="N57" i="4" s="1"/>
  <c r="H55" i="4"/>
  <c r="I55" i="4"/>
  <c r="O54" i="4"/>
  <c r="M32" i="4"/>
  <c r="D31" i="4"/>
  <c r="L32" i="4"/>
  <c r="N34" i="4"/>
  <c r="N35" i="4" s="1"/>
  <c r="J32" i="4"/>
  <c r="E29" i="4"/>
  <c r="O55" i="4" l="1"/>
  <c r="O56" i="4" s="1"/>
  <c r="J55" i="4"/>
  <c r="I56" i="4"/>
  <c r="H56" i="4"/>
  <c r="P33" i="4"/>
  <c r="P34" i="4" s="1"/>
  <c r="M33" i="4"/>
  <c r="M34" i="4" s="1"/>
  <c r="M35" i="4" s="1"/>
  <c r="O31" i="4"/>
  <c r="L33" i="4"/>
  <c r="D32" i="4"/>
  <c r="I34" i="4"/>
  <c r="I35" i="4"/>
  <c r="J33" i="4"/>
  <c r="E30" i="4"/>
  <c r="O32" i="4" l="1"/>
  <c r="N58" i="4"/>
  <c r="N59" i="4" s="1"/>
  <c r="I57" i="4"/>
  <c r="H57" i="4"/>
  <c r="J56" i="4"/>
  <c r="D33" i="4"/>
  <c r="L34" i="4"/>
  <c r="L35" i="4" s="1"/>
  <c r="M36" i="4"/>
  <c r="N36" i="4"/>
  <c r="N37" i="4" s="1"/>
  <c r="J34" i="4"/>
  <c r="E31" i="4"/>
  <c r="O57" i="4" l="1"/>
  <c r="J57" i="4"/>
  <c r="I58" i="4"/>
  <c r="H58" i="4"/>
  <c r="I37" i="4"/>
  <c r="P35" i="4"/>
  <c r="P36" i="4" s="1"/>
  <c r="O33" i="4"/>
  <c r="O34" i="4" s="1"/>
  <c r="D34" i="4"/>
  <c r="M37" i="4"/>
  <c r="I36" i="4"/>
  <c r="J35" i="4"/>
  <c r="E32" i="4"/>
  <c r="J58" i="4" l="1"/>
  <c r="N60" i="4"/>
  <c r="N61" i="4" s="1"/>
  <c r="I59" i="4"/>
  <c r="H59" i="4"/>
  <c r="O58" i="4"/>
  <c r="L36" i="4"/>
  <c r="O35" i="4" s="1"/>
  <c r="D35" i="4"/>
  <c r="M38" i="4"/>
  <c r="M39" i="4" s="1"/>
  <c r="N38" i="4"/>
  <c r="N39" i="4" s="1"/>
  <c r="J36" i="4"/>
  <c r="E33" i="4"/>
  <c r="O59" i="4" l="1"/>
  <c r="O60" i="4" s="1"/>
  <c r="O62" i="4" s="1"/>
  <c r="D20" i="4" s="1"/>
  <c r="J59" i="4"/>
  <c r="I60" i="4"/>
  <c r="H60" i="4"/>
  <c r="P37" i="4"/>
  <c r="L37" i="4"/>
  <c r="O36" i="4" s="1"/>
  <c r="D36" i="4"/>
  <c r="I38" i="4"/>
  <c r="J37" i="4"/>
  <c r="E34" i="4"/>
  <c r="J60" i="4" l="1"/>
  <c r="C20" i="4" s="1"/>
  <c r="P38" i="4"/>
  <c r="P40" i="4" s="1"/>
  <c r="D18" i="4" s="1"/>
  <c r="L38" i="4"/>
  <c r="L39" i="4" s="1"/>
  <c r="D37" i="4"/>
  <c r="J38" i="4"/>
  <c r="C18" i="4" s="1"/>
  <c r="E35" i="4"/>
  <c r="E18" i="4" l="1"/>
  <c r="O37" i="4"/>
  <c r="O38" i="4" s="1"/>
  <c r="D38" i="4"/>
  <c r="E36" i="4"/>
  <c r="O40" i="4" l="1"/>
  <c r="D17" i="4" s="1"/>
  <c r="E37" i="4"/>
  <c r="E38" i="4" l="1"/>
  <c r="C17" i="4" s="1"/>
  <c r="E17" i="4" s="1"/>
</calcChain>
</file>

<file path=xl/sharedStrings.xml><?xml version="1.0" encoding="utf-8"?>
<sst xmlns="http://schemas.openxmlformats.org/spreadsheetml/2006/main" count="110" uniqueCount="73">
  <si>
    <t>Base Pay Rate</t>
  </si>
  <si>
    <t>PTO Balance</t>
  </si>
  <si>
    <t>LTS Balance</t>
  </si>
  <si>
    <t>Weekly Scheduled Hours</t>
  </si>
  <si>
    <t>Weekly Pay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</si>
  <si>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</si>
  <si>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</si>
  <si>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</si>
  <si>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</si>
  <si>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</si>
  <si>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</si>
  <si>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</si>
  <si>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</si>
  <si>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</si>
  <si>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</si>
  <si>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</si>
  <si>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</si>
  <si>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</si>
  <si>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PTO?</t>
  </si>
  <si>
    <t>Yes</t>
  </si>
  <si>
    <t>No</t>
  </si>
  <si>
    <t>STD</t>
  </si>
  <si>
    <t>Remaining</t>
  </si>
  <si>
    <t>Hours to cover</t>
  </si>
  <si>
    <t>% Pay not covered</t>
  </si>
  <si>
    <t>Covered Pay Worksheet</t>
  </si>
  <si>
    <t>Weekly Total</t>
  </si>
  <si>
    <t>Tax Formula</t>
  </si>
  <si>
    <t>Hourly Rate</t>
  </si>
  <si>
    <t>Fill in yellow highlighted boxes to estimate your STD benefits</t>
  </si>
  <si>
    <t>Do you plan to use PTO?</t>
  </si>
  <si>
    <t xml:space="preserve">*Payroll tax is estimated using a 28% tax rate, the actual amount may vary depending on your tax situation. </t>
  </si>
  <si>
    <t>Hire Date</t>
  </si>
  <si>
    <t>Illness/Injury</t>
  </si>
  <si>
    <t>PTO/LTS</t>
  </si>
  <si>
    <t xml:space="preserve">   Note: Seven-on/Seven-Off employees should enter 40 hours.</t>
  </si>
  <si>
    <t>PTO Dates</t>
  </si>
  <si>
    <t>Accrued per pay period</t>
  </si>
  <si>
    <t>PTO Accrual</t>
  </si>
  <si>
    <t>40 hours</t>
  </si>
  <si>
    <t>30 Hours</t>
  </si>
  <si>
    <t>36 Hours</t>
  </si>
  <si>
    <t>35 Hours</t>
  </si>
  <si>
    <t>32 Hours</t>
  </si>
  <si>
    <t>31 Hours</t>
  </si>
  <si>
    <t>Anniversary Year</t>
  </si>
  <si>
    <t>Today</t>
  </si>
  <si>
    <t>Hours</t>
  </si>
  <si>
    <t>Reference #</t>
  </si>
  <si>
    <t>Column Reference</t>
  </si>
  <si>
    <t>Row Reference</t>
  </si>
  <si>
    <t xml:space="preserve">   Note: Based on 24 times per year</t>
  </si>
  <si>
    <t>Is this for Maternity?</t>
  </si>
  <si>
    <t>Hospital</t>
  </si>
  <si>
    <t>Illness</t>
  </si>
  <si>
    <t>Maternity</t>
  </si>
  <si>
    <t xml:space="preserve">   Note: Only if hospitalized</t>
  </si>
  <si>
    <t>Hsptl Hours</t>
  </si>
  <si>
    <t>I/I Hours</t>
  </si>
  <si>
    <t>2019 STD - Hospital</t>
  </si>
  <si>
    <t>2019 STD - Injury/Illness</t>
  </si>
  <si>
    <t>2019 Hospital Stay</t>
  </si>
  <si>
    <t>2019 Illness/Injury</t>
  </si>
  <si>
    <t>Summary Plan Comparison</t>
  </si>
  <si>
    <t>PTO/LTS Hours Used</t>
  </si>
  <si>
    <t>2018 LTS &amp; PTO Only</t>
  </si>
  <si>
    <t>Benefit Amount</t>
  </si>
  <si>
    <t>2018 Plan vs 2019 Plan</t>
  </si>
  <si>
    <t>Enrolled in Voluntary STD Plan?</t>
  </si>
  <si>
    <t>Short Term Disability Calculator*</t>
  </si>
  <si>
    <t>Estimated Payroll Tax Per Pay Period**</t>
  </si>
  <si>
    <t>*This calculator is only an estimate and is not intended to be a complete representation of income and expenses.</t>
  </si>
  <si>
    <t>Note: This calculator has taken in to account an ongoing PTO accrual based off of the scheduled hours provided.  should you work a reduced schedule, the PTO hours will not accure at the full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</si>
</sst>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164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16" xfId="0" applyBorder="1" applyProtection="1"/>
    <xf numFmtId="164" fontId="0" fillId="0" borderId="0" xfId="0" applyNumberFormat="1" applyProtection="1"/>
    <xf numFmtId="164" fontId="0" fillId="6" borderId="18" xfId="0" applyNumberFormat="1" applyFill="1" applyBorder="1" applyProtection="1"/>
    <xf numFmtId="0" fontId="2" fillId="0" borderId="4" xfId="0" applyFont="1" applyBorder="1" applyProtection="1"/>
    <xf numFmtId="164" fontId="2" fillId="0" borderId="5" xfId="0" applyNumberFormat="1" applyFont="1" applyBorder="1" applyAlignment="1" applyProtection="1">
      <alignment horizontal="center"/>
    </xf>
    <xf numFmtId="164" fontId="0" fillId="6" borderId="17" xfId="0" applyNumberFormat="1" applyFill="1" applyBorder="1" applyProtection="1"/>
    <xf numFmtId="1" fontId="0" fillId="0" borderId="0" xfId="0" applyNumberFormat="1" applyProtection="1"/>
    <xf numFmtId="0" fontId="0" fillId="0" borderId="2" xfId="0" applyBorder="1" applyProtection="1"/>
    <xf numFmtId="164" fontId="0" fillId="0" borderId="2" xfId="0" applyNumberFormat="1" applyBorder="1" applyProtection="1"/>
    <xf numFmtId="2" fontId="0" fillId="0" borderId="2" xfId="0" applyNumberFormat="1" applyBorder="1" applyProtection="1"/>
    <xf numFmtId="165" fontId="0" fillId="0" borderId="2" xfId="1" applyNumberFormat="1" applyFont="1" applyBorder="1" applyProtection="1"/>
    <xf numFmtId="164" fontId="2" fillId="3" borderId="2" xfId="0" applyNumberFormat="1" applyFont="1" applyFill="1" applyBorder="1" applyAlignment="1" applyProtection="1">
      <alignment horizontal="right"/>
    </xf>
    <xf numFmtId="2" fontId="0" fillId="0" borderId="0" xfId="0" applyNumberFormat="1" applyBorder="1" applyProtection="1"/>
    <xf numFmtId="0" fontId="5" fillId="5" borderId="7" xfId="0" applyFont="1" applyFill="1" applyBorder="1" applyAlignment="1" applyProtection="1">
      <alignment horizontal="center"/>
    </xf>
    <xf numFmtId="164" fontId="5" fillId="0" borderId="8" xfId="0" applyNumberFormat="1" applyFont="1" applyFill="1" applyBorder="1" applyAlignment="1" applyProtection="1">
      <alignment horizontal="right"/>
    </xf>
    <xf numFmtId="0" fontId="5" fillId="5" borderId="12" xfId="0" applyFont="1" applyFill="1" applyBorder="1" applyAlignment="1" applyProtection="1">
      <alignment horizontal="center"/>
    </xf>
    <xf numFmtId="164" fontId="2" fillId="3" borderId="13" xfId="0" applyNumberFormat="1" applyFont="1" applyFill="1" applyBorder="1" applyAlignment="1" applyProtection="1">
      <alignment horizontal="right"/>
    </xf>
    <xf numFmtId="164" fontId="5" fillId="0" borderId="14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/>
    </xf>
    <xf numFmtId="0" fontId="5" fillId="5" borderId="10" xfId="0" applyFont="1" applyFill="1" applyBorder="1" applyAlignment="1" applyProtection="1">
      <alignment horizontal="center"/>
    </xf>
    <xf numFmtId="164" fontId="2" fillId="3" borderId="11" xfId="0" applyNumberFormat="1" applyFont="1" applyFill="1" applyBorder="1" applyAlignment="1" applyProtection="1">
      <alignment horizontal="right"/>
    </xf>
    <xf numFmtId="164" fontId="5" fillId="0" borderId="15" xfId="0" applyNumberFormat="1" applyFont="1" applyFill="1" applyBorder="1" applyAlignment="1" applyProtection="1">
      <alignment horizontal="right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" fontId="0" fillId="0" borderId="2" xfId="0" applyNumberFormat="1" applyBorder="1" applyAlignment="1">
      <alignment wrapText="1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Protection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0" xfId="0" applyAlignment="1" applyProtection="1">
      <alignment horizontal="right"/>
    </xf>
    <xf numFmtId="0" fontId="0" fillId="0" borderId="0" xfId="0" applyFill="1" applyBorder="1" applyProtection="1"/>
    <xf numFmtId="0" fontId="0" fillId="0" borderId="2" xfId="0" applyFill="1" applyBorder="1" applyProtection="1"/>
    <xf numFmtId="0" fontId="0" fillId="5" borderId="9" xfId="0" applyFill="1" applyBorder="1" applyProtection="1"/>
    <xf numFmtId="14" fontId="0" fillId="5" borderId="20" xfId="0" applyNumberFormat="1" applyFill="1" applyBorder="1" applyProtection="1"/>
    <xf numFmtId="0" fontId="0" fillId="0" borderId="3" xfId="0" applyBorder="1" applyProtection="1"/>
    <xf numFmtId="0" fontId="0" fillId="0" borderId="21" xfId="0" applyBorder="1" applyProtection="1"/>
    <xf numFmtId="0" fontId="0" fillId="0" borderId="4" xfId="0" applyBorder="1" applyProtection="1"/>
    <xf numFmtId="0" fontId="0" fillId="0" borderId="5" xfId="0" applyBorder="1" applyProtection="1"/>
    <xf numFmtId="1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wrapText="1"/>
    </xf>
    <xf numFmtId="0" fontId="0" fillId="0" borderId="0" xfId="0" applyBorder="1" applyProtection="1"/>
    <xf numFmtId="0" fontId="0" fillId="7" borderId="1" xfId="0" applyFill="1" applyBorder="1" applyAlignment="1" applyProtection="1">
      <alignment horizontal="center"/>
    </xf>
    <xf numFmtId="0" fontId="0" fillId="7" borderId="4" xfId="0" applyFill="1" applyBorder="1" applyProtection="1"/>
    <xf numFmtId="0" fontId="0" fillId="7" borderId="5" xfId="0" applyFill="1" applyBorder="1" applyProtection="1"/>
    <xf numFmtId="0" fontId="0" fillId="7" borderId="6" xfId="0" applyFill="1" applyBorder="1" applyProtection="1"/>
    <xf numFmtId="0" fontId="0" fillId="7" borderId="22" xfId="0" applyFill="1" applyBorder="1" applyProtection="1"/>
    <xf numFmtId="164" fontId="2" fillId="0" borderId="16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wrapText="1"/>
    </xf>
    <xf numFmtId="2" fontId="0" fillId="0" borderId="23" xfId="0" applyNumberFormat="1" applyBorder="1" applyProtection="1"/>
    <xf numFmtId="0" fontId="0" fillId="0" borderId="24" xfId="0" applyBorder="1" applyProtection="1"/>
    <xf numFmtId="0" fontId="0" fillId="0" borderId="4" xfId="0" applyFill="1" applyBorder="1" applyAlignment="1" applyProtection="1">
      <alignment horizontal="center"/>
    </xf>
    <xf numFmtId="2" fontId="0" fillId="0" borderId="8" xfId="0" applyNumberFormat="1" applyBorder="1" applyProtection="1"/>
    <xf numFmtId="2" fontId="0" fillId="0" borderId="7" xfId="0" applyNumberFormat="1" applyBorder="1" applyProtection="1"/>
    <xf numFmtId="2" fontId="0" fillId="0" borderId="5" xfId="0" applyNumberFormat="1" applyBorder="1" applyProtection="1"/>
    <xf numFmtId="2" fontId="0" fillId="0" borderId="6" xfId="0" applyNumberFormat="1" applyBorder="1" applyProtection="1"/>
    <xf numFmtId="2" fontId="0" fillId="0" borderId="25" xfId="0" applyNumberFormat="1" applyBorder="1" applyProtection="1"/>
    <xf numFmtId="0" fontId="0" fillId="0" borderId="25" xfId="0" applyBorder="1" applyProtection="1"/>
    <xf numFmtId="2" fontId="0" fillId="0" borderId="22" xfId="0" applyNumberFormat="1" applyBorder="1" applyProtection="1"/>
    <xf numFmtId="0" fontId="4" fillId="4" borderId="26" xfId="0" applyFont="1" applyFill="1" applyBorder="1" applyAlignment="1" applyProtection="1">
      <alignment horizontal="center"/>
    </xf>
    <xf numFmtId="0" fontId="4" fillId="4" borderId="27" xfId="0" applyFont="1" applyFill="1" applyBorder="1" applyAlignment="1" applyProtection="1">
      <alignment horizontal="center"/>
    </xf>
    <xf numFmtId="0" fontId="4" fillId="4" borderId="28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164" fontId="0" fillId="0" borderId="0" xfId="0" applyNumberFormat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2" fillId="8" borderId="4" xfId="0" applyFont="1" applyFill="1" applyBorder="1" applyAlignment="1" applyProtection="1">
      <alignment horizontal="center"/>
    </xf>
    <xf numFmtId="164" fontId="0" fillId="8" borderId="0" xfId="0" applyNumberFormat="1" applyFill="1" applyBorder="1" applyAlignment="1" applyProtection="1">
      <alignment horizontal="center"/>
    </xf>
    <xf numFmtId="2" fontId="0" fillId="8" borderId="0" xfId="0" applyNumberFormat="1" applyFill="1" applyBorder="1" applyAlignment="1" applyProtection="1">
      <alignment horizontal="center"/>
    </xf>
    <xf numFmtId="0" fontId="0" fillId="8" borderId="5" xfId="0" applyFill="1" applyBorder="1" applyAlignment="1" applyProtection="1">
      <alignment horizontal="center"/>
    </xf>
    <xf numFmtId="0" fontId="0" fillId="8" borderId="6" xfId="0" applyFill="1" applyBorder="1" applyAlignment="1" applyProtection="1">
      <alignment horizontal="center"/>
    </xf>
    <xf numFmtId="0" fontId="0" fillId="8" borderId="25" xfId="0" applyFill="1" applyBorder="1" applyAlignment="1" applyProtection="1">
      <alignment horizontal="center"/>
    </xf>
    <xf numFmtId="0" fontId="0" fillId="8" borderId="22" xfId="0" applyFill="1" applyBorder="1" applyAlignment="1" applyProtection="1">
      <alignment horizontal="center"/>
    </xf>
    <xf numFmtId="164" fontId="0" fillId="8" borderId="2" xfId="0" applyNumberFormat="1" applyFill="1" applyBorder="1" applyAlignment="1" applyProtection="1">
      <alignment horizontal="center"/>
    </xf>
    <xf numFmtId="2" fontId="0" fillId="8" borderId="2" xfId="0" applyNumberForma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 wrapText="1"/>
    </xf>
    <xf numFmtId="44" fontId="0" fillId="8" borderId="2" xfId="2" applyFont="1" applyFill="1" applyBorder="1" applyProtection="1"/>
    <xf numFmtId="0" fontId="0" fillId="8" borderId="21" xfId="0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left" vertical="top" wrapText="1"/>
    </xf>
    <xf numFmtId="0" fontId="0" fillId="0" borderId="0" xfId="0" applyAlignment="1" applyProtection="1">
      <alignment horizontal="center"/>
    </xf>
    <xf numFmtId="0" fontId="7" fillId="0" borderId="19" xfId="0" applyFont="1" applyBorder="1" applyAlignment="1">
      <alignment horizontal="center" wrapText="1"/>
    </xf>
    <xf numFmtId="0" fontId="0" fillId="0" borderId="0" xfId="0" applyAlignment="1" applyProtection="1">
      <alignment horizontal="right"/>
    </xf>
    <xf numFmtId="0" fontId="0" fillId="0" borderId="5" xfId="0" applyBorder="1" applyAlignment="1" applyProtection="1">
      <alignment horizontal="right"/>
    </xf>
    <xf numFmtId="0" fontId="7" fillId="8" borderId="3" xfId="0" applyFont="1" applyFill="1" applyBorder="1" applyAlignment="1" applyProtection="1">
      <alignment horizontal="center"/>
    </xf>
    <xf numFmtId="0" fontId="7" fillId="8" borderId="24" xfId="0" applyFont="1" applyFill="1" applyBorder="1" applyAlignment="1" applyProtection="1">
      <alignment horizontal="center"/>
    </xf>
    <xf numFmtId="0" fontId="8" fillId="0" borderId="0" xfId="0" applyFont="1" applyAlignment="1">
      <alignment vertical="center"/>
    </xf>
    <xf numFmtId="164" fontId="6" fillId="0" borderId="4" xfId="0" applyNumberFormat="1" applyFont="1" applyBorder="1" applyAlignment="1" applyProtection="1">
      <alignment horizontal="left" vertical="top" wrapText="1"/>
    </xf>
    <xf numFmtId="164" fontId="6" fillId="0" borderId="5" xfId="0" applyNumberFormat="1" applyFont="1" applyBorder="1" applyAlignment="1" applyProtection="1">
      <alignment horizontal="left" vertical="top" wrapText="1"/>
    </xf>
    <xf numFmtId="0" fontId="8" fillId="0" borderId="6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</cellXfs>
  <cellStyles count="3">
    <cellStyle name="Currency" xfId="2" builtinId="4"/>
    <cellStyle name="Normal" xfId="0" builtinId="0"/>
    <cellStyle name="Percent" xfId="1" builtinId="5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87"/>
  <sheetViews>
    <sheetView showGridLines="0" tabSelected="1" zoomScaleNormal="100" workbookViewId="0">
      <selection activeCell="C4" sqref="C4"/>
    </sheetView>
  </sheetViews>
  <sheetFormatPr defaultRowHeight="15" x14ac:dyDescent="0.25"/>
  <cols>
    <col min="1" max="1" width="9.140625" style="3"/>
    <col min="2" max="2" width="31.28515625" style="3" bestFit="1" customWidth="1"/>
    <col min="3" max="5" width="12.42578125" style="3" customWidth="1"/>
    <col min="6" max="6" width="5.7109375" style="3" customWidth="1"/>
    <col min="7" max="7" width="31.28515625" style="3" customWidth="1"/>
    <col min="8" max="10" width="12.42578125" style="3" customWidth="1"/>
    <col min="11" max="11" width="17.28515625" style="3" bestFit="1" customWidth="1"/>
    <col min="12" max="12" width="17.28515625" style="3" hidden="1" customWidth="1"/>
    <col min="13" max="13" width="11.7109375" style="3" hidden="1" customWidth="1"/>
    <col min="14" max="17" width="9.140625" style="3" hidden="1" customWidth="1"/>
    <col min="18" max="18" width="17.42578125" style="3" hidden="1" customWidth="1"/>
    <col min="19" max="19" width="9.140625" style="3" hidden="1" customWidth="1"/>
    <col min="20" max="20" width="15" style="3" hidden="1" customWidth="1"/>
    <col min="21" max="21" width="9.7109375" style="3" hidden="1" customWidth="1"/>
    <col min="22" max="26" width="9.140625" style="3" hidden="1" customWidth="1"/>
    <col min="27" max="27" width="9.140625" style="3" customWidth="1"/>
    <col min="28" max="16384" width="9.140625" style="3"/>
  </cols>
  <sheetData>
    <row r="1" spans="2:19" ht="18" x14ac:dyDescent="0.25">
      <c r="B1" s="88" t="s">
        <v>69</v>
      </c>
      <c r="C1" s="88"/>
      <c r="D1" s="88"/>
      <c r="E1" s="88"/>
      <c r="F1" s="88"/>
      <c r="G1" s="88"/>
      <c r="H1" s="88"/>
      <c r="I1" s="88"/>
      <c r="J1" s="88"/>
    </row>
    <row r="2" spans="2:19" ht="15.75" thickBot="1" x14ac:dyDescent="0.3">
      <c r="B2" s="89" t="s">
        <v>29</v>
      </c>
      <c r="C2" s="89"/>
      <c r="D2" s="89"/>
      <c r="E2" s="89"/>
      <c r="F2" s="89"/>
      <c r="G2" s="89"/>
      <c r="H2" s="89"/>
      <c r="I2" s="89"/>
      <c r="J2" s="89"/>
    </row>
    <row r="3" spans="2:19" ht="15.75" thickBot="1" x14ac:dyDescent="0.3">
      <c r="L3" s="4" t="s">
        <v>28</v>
      </c>
    </row>
    <row r="4" spans="2:19" ht="15.75" thickBot="1" x14ac:dyDescent="0.3">
      <c r="B4" s="69" t="s">
        <v>0</v>
      </c>
      <c r="C4" s="1"/>
      <c r="E4" s="5"/>
      <c r="L4" s="6">
        <f>IFERROR(IF(C4&gt;500,C4/(C9*52),C4),0)</f>
        <v>0</v>
      </c>
    </row>
    <row r="5" spans="2:19" ht="15.75" thickBot="1" x14ac:dyDescent="0.3">
      <c r="B5" s="7" t="s">
        <v>4</v>
      </c>
      <c r="C5" s="8">
        <f>IF(C4&gt;500,C4/52,C4*C9)</f>
        <v>0</v>
      </c>
      <c r="L5" s="4" t="s">
        <v>27</v>
      </c>
    </row>
    <row r="6" spans="2:19" ht="15.75" thickBot="1" x14ac:dyDescent="0.3">
      <c r="B6" s="70" t="s">
        <v>1</v>
      </c>
      <c r="C6" s="2"/>
      <c r="L6" s="9">
        <f>L4*C9*52/52*0.6*0.1775/10</f>
        <v>0</v>
      </c>
    </row>
    <row r="7" spans="2:19" ht="15.75" thickBot="1" x14ac:dyDescent="0.3">
      <c r="B7" s="70" t="s">
        <v>2</v>
      </c>
      <c r="C7" s="2"/>
      <c r="L7" s="6">
        <f>L6*0.28</f>
        <v>0</v>
      </c>
      <c r="R7" s="91" t="s">
        <v>25</v>
      </c>
      <c r="S7" s="91"/>
    </row>
    <row r="8" spans="2:19" ht="15.75" thickBot="1" x14ac:dyDescent="0.3">
      <c r="B8" s="70" t="s">
        <v>32</v>
      </c>
      <c r="C8" s="31"/>
      <c r="R8" s="11" t="s">
        <v>4</v>
      </c>
      <c r="S8" s="12">
        <f>C5</f>
        <v>0</v>
      </c>
    </row>
    <row r="9" spans="2:19" ht="15.75" thickBot="1" x14ac:dyDescent="0.3">
      <c r="B9" s="70" t="s">
        <v>3</v>
      </c>
      <c r="C9" s="45"/>
      <c r="D9" s="3" t="s">
        <v>35</v>
      </c>
      <c r="E9" s="10"/>
      <c r="R9" s="11" t="s">
        <v>21</v>
      </c>
      <c r="S9" s="12">
        <f>IF(($C$5*0.6)&gt;2500,2500,$C$5*0.6)</f>
        <v>0</v>
      </c>
    </row>
    <row r="10" spans="2:19" ht="15.75" thickBot="1" x14ac:dyDescent="0.3">
      <c r="B10" s="70" t="s">
        <v>52</v>
      </c>
      <c r="C10" s="53"/>
      <c r="D10" s="3" t="s">
        <v>56</v>
      </c>
      <c r="E10" s="10"/>
      <c r="R10" s="11" t="s">
        <v>22</v>
      </c>
      <c r="S10" s="12">
        <f>S8-S9</f>
        <v>0</v>
      </c>
    </row>
    <row r="11" spans="2:19" ht="15.75" thickBot="1" x14ac:dyDescent="0.3">
      <c r="B11" s="71" t="s">
        <v>30</v>
      </c>
      <c r="C11" s="1"/>
      <c r="E11" s="10"/>
      <c r="R11" s="11" t="s">
        <v>23</v>
      </c>
      <c r="S11" s="13">
        <f>IFERROR(S10/L4,0)</f>
        <v>0</v>
      </c>
    </row>
    <row r="12" spans="2:19" ht="15.75" thickBot="1" x14ac:dyDescent="0.3">
      <c r="B12" s="72" t="s">
        <v>68</v>
      </c>
      <c r="C12" s="1"/>
      <c r="E12" s="10"/>
      <c r="R12" s="11" t="s">
        <v>24</v>
      </c>
      <c r="S12" s="14">
        <f>IFERROR(S11/C9,0)</f>
        <v>0</v>
      </c>
    </row>
    <row r="13" spans="2:19" x14ac:dyDescent="0.25">
      <c r="B13" s="3" t="str">
        <f>IF(C12="Yes","    Enter Semi-Monthly Premium","")</f>
        <v/>
      </c>
      <c r="C13" s="73"/>
    </row>
    <row r="14" spans="2:19" ht="15.75" thickBot="1" x14ac:dyDescent="0.3"/>
    <row r="15" spans="2:19" x14ac:dyDescent="0.25">
      <c r="B15" s="95" t="s">
        <v>63</v>
      </c>
      <c r="C15" s="96"/>
      <c r="D15" s="96"/>
      <c r="E15" s="96"/>
      <c r="F15" s="87"/>
    </row>
    <row r="16" spans="2:19" ht="30" x14ac:dyDescent="0.25">
      <c r="B16" s="74"/>
      <c r="C16" s="85" t="s">
        <v>66</v>
      </c>
      <c r="D16" s="85" t="s">
        <v>64</v>
      </c>
      <c r="E16" s="85" t="s">
        <v>67</v>
      </c>
      <c r="F16" s="79"/>
    </row>
    <row r="17" spans="2:17" x14ac:dyDescent="0.25">
      <c r="B17" s="76" t="s">
        <v>59</v>
      </c>
      <c r="C17" s="83">
        <f>SUM(E26:E38)</f>
        <v>0</v>
      </c>
      <c r="D17" s="84">
        <f>O40</f>
        <v>0</v>
      </c>
      <c r="E17" s="86">
        <f>IF(C12="Yes",C17-C20,C17-C19)</f>
        <v>0</v>
      </c>
      <c r="F17" s="79"/>
    </row>
    <row r="18" spans="2:17" x14ac:dyDescent="0.25">
      <c r="B18" s="76" t="s">
        <v>60</v>
      </c>
      <c r="C18" s="83">
        <f>SUM(J26:J38)</f>
        <v>0</v>
      </c>
      <c r="D18" s="84">
        <f>P40</f>
        <v>0</v>
      </c>
      <c r="E18" s="86">
        <f>IF(C12="Yes",C18-C20,C18-C19)</f>
        <v>0</v>
      </c>
      <c r="F18" s="79"/>
    </row>
    <row r="19" spans="2:17" x14ac:dyDescent="0.25">
      <c r="B19" s="76" t="s">
        <v>65</v>
      </c>
      <c r="C19" s="83">
        <f>IF((C6+C7)&gt;520,520*L4,(C6+C7)*L4)</f>
        <v>0</v>
      </c>
      <c r="D19" s="84">
        <f>IF((C7+C6)&gt;520,520,C6+C7)</f>
        <v>0</v>
      </c>
      <c r="E19" s="84"/>
      <c r="F19" s="79"/>
    </row>
    <row r="20" spans="2:17" x14ac:dyDescent="0.25">
      <c r="B20" s="76" t="str">
        <f>IF(C12="Yes","2018 STD Plan","")</f>
        <v/>
      </c>
      <c r="C20" s="77" t="str">
        <f>IF(C12="Yes",SUM(J48:J60)-C13*24,"")</f>
        <v/>
      </c>
      <c r="D20" s="78" t="str">
        <f>IF(C12="Yes",O62,"")</f>
        <v/>
      </c>
      <c r="E20" s="75"/>
      <c r="F20" s="79"/>
    </row>
    <row r="21" spans="2:17" ht="15.75" thickBot="1" x14ac:dyDescent="0.3">
      <c r="B21" s="80"/>
      <c r="C21" s="81"/>
      <c r="D21" s="81"/>
      <c r="E21" s="81"/>
      <c r="F21" s="82"/>
    </row>
    <row r="22" spans="2:17" ht="15.75" thickBot="1" x14ac:dyDescent="0.3"/>
    <row r="23" spans="2:17" ht="32.25" thickBot="1" x14ac:dyDescent="0.3">
      <c r="B23" s="55" t="s">
        <v>70</v>
      </c>
      <c r="C23" s="54">
        <f>L7</f>
        <v>0</v>
      </c>
      <c r="D23" s="3" t="s">
        <v>51</v>
      </c>
    </row>
    <row r="24" spans="2:17" ht="15.75" thickBot="1" x14ac:dyDescent="0.3"/>
    <row r="25" spans="2:17" ht="32.25" thickBot="1" x14ac:dyDescent="0.3">
      <c r="B25" s="66" t="s">
        <v>61</v>
      </c>
      <c r="C25" s="67" t="s">
        <v>21</v>
      </c>
      <c r="D25" s="67" t="s">
        <v>34</v>
      </c>
      <c r="E25" s="68" t="s">
        <v>26</v>
      </c>
      <c r="G25" s="66" t="s">
        <v>62</v>
      </c>
      <c r="H25" s="67" t="s">
        <v>21</v>
      </c>
      <c r="I25" s="67" t="s">
        <v>34</v>
      </c>
      <c r="J25" s="68" t="s">
        <v>26</v>
      </c>
      <c r="L25" s="41"/>
      <c r="M25" s="57"/>
      <c r="N25" s="57"/>
      <c r="O25" s="57" t="s">
        <v>57</v>
      </c>
      <c r="P25" s="42" t="s">
        <v>58</v>
      </c>
      <c r="Q25" s="47"/>
    </row>
    <row r="26" spans="2:17" x14ac:dyDescent="0.25">
      <c r="B26" s="25" t="s">
        <v>5</v>
      </c>
      <c r="C26" s="26">
        <f>IF(($C$5*0.6)&gt;2500,2500,$C$5*0.6)</f>
        <v>0</v>
      </c>
      <c r="D26" s="26">
        <f>IF($C$11="Yes",IF(($C$6+$C$7)&gt;($C$9*$S$12),$C$9*$S$12*$L$4,($C$6+$C$7)*$L$4),IF($C$7&gt;($C$9*$S$12),$C$9*$S$12*$L$4,$C$7*$L$4))</f>
        <v>0</v>
      </c>
      <c r="E26" s="27">
        <f>SUM(C26:D26)</f>
        <v>0</v>
      </c>
      <c r="G26" s="25" t="s">
        <v>5</v>
      </c>
      <c r="H26" s="26">
        <v>0</v>
      </c>
      <c r="I26" s="26">
        <f>IF($C$11="Yes",IF(($C$6+$C$7)&gt;$C$9,$C$9*$L$4,($C$6+$C$7)*$L$4),IF($C$7&gt;$C$9,$C$9*$L$4,$C$7*$L$4))</f>
        <v>0</v>
      </c>
      <c r="J26" s="27">
        <f>SUM(H26:I26)</f>
        <v>0</v>
      </c>
      <c r="L26" s="58" t="s">
        <v>53</v>
      </c>
      <c r="M26" s="47"/>
      <c r="N26" s="47" t="s">
        <v>54</v>
      </c>
      <c r="O26" s="13">
        <f>IF(L27=0,IF(C11="Yes",C6+C7,C7),IF(C11="Yes",C6+C7-L27+T36,C7-L27))</f>
        <v>0</v>
      </c>
      <c r="P26" s="59">
        <f>IF(N27=0,IF($C$11="Yes",$C$6+$C$7,$C$7),IF($C$11="Yes",$C$6+$C$7-N27+$T$36,$C$7-N27))</f>
        <v>0</v>
      </c>
      <c r="Q26" s="16"/>
    </row>
    <row r="27" spans="2:17" x14ac:dyDescent="0.25">
      <c r="B27" s="17" t="s">
        <v>6</v>
      </c>
      <c r="C27" s="15">
        <f>IF(($C$5*0.6)&gt;2500,2500,$C$5*0.6)</f>
        <v>0</v>
      </c>
      <c r="D27" s="15">
        <f>IF(L27&gt;($C$9*$S$12),$C$9*$S$12*$L$4,L27*$L$4)</f>
        <v>0</v>
      </c>
      <c r="E27" s="18">
        <f>SUM(C27:D27)</f>
        <v>0</v>
      </c>
      <c r="G27" s="17" t="s">
        <v>6</v>
      </c>
      <c r="H27" s="15">
        <f>IF(($C$5*0.6)&gt;2500,2500,$C$5*0.6)</f>
        <v>0</v>
      </c>
      <c r="I27" s="15">
        <f>IF(N27&gt;($C$9*$S$12),$C$9*$L$4*$S$12,N27*$L$4)</f>
        <v>0</v>
      </c>
      <c r="J27" s="18">
        <f>SUM(H27:I27)</f>
        <v>0</v>
      </c>
      <c r="L27" s="60">
        <f>IFERROR(IF($C$11="Yes",IF((($C$6+$C$7+$T$36)-($C$9*$S$12))&lt;0,0,($C$6+$C$7+$T$36)-($C$9*$S$12)),IF(($C$7-($C$9*$S$12))&lt;0,0,$C$7-($C$9*$S$12))),0)</f>
        <v>0</v>
      </c>
      <c r="M27" s="47"/>
      <c r="N27" s="56">
        <f>IFERROR(IF($C$11="Yes",IF((($C$6+$C$7)-$C$9+$T$36)&lt;0,0,($C$6+$C$7)-$C$9+$T$36),IF(($C$7-$C$9)&lt;0,0,$C$7-$C$9)),0)</f>
        <v>0</v>
      </c>
      <c r="O27" s="13">
        <f>L27-L28</f>
        <v>0</v>
      </c>
      <c r="P27" s="59">
        <f>N27-N28</f>
        <v>0</v>
      </c>
      <c r="Q27" s="16"/>
    </row>
    <row r="28" spans="2:17" x14ac:dyDescent="0.25">
      <c r="B28" s="17" t="s">
        <v>7</v>
      </c>
      <c r="C28" s="15">
        <f t="shared" ref="C28:C31" si="0">IF(($C$5*0.6)&gt;2500,2500,$C$5*0.6)</f>
        <v>0</v>
      </c>
      <c r="D28" s="15">
        <f>IF(L28&gt;($C$9*$S$12),$C$9*$S$12*$L$4,L28*$L$4)</f>
        <v>0</v>
      </c>
      <c r="E28" s="18">
        <f t="shared" ref="E28:E38" si="1">SUM(C28:D28)</f>
        <v>0</v>
      </c>
      <c r="G28" s="17" t="s">
        <v>7</v>
      </c>
      <c r="H28" s="15">
        <f t="shared" ref="H28:H38" si="2">IF(($C$5*0.6)&gt;2500,2500,$C$5*0.6)</f>
        <v>0</v>
      </c>
      <c r="I28" s="15">
        <f t="shared" ref="I28:I38" si="3">IF(N28&gt;($C$9*$S$12),$C$9*$S$12*$L$4,N28*$L$4)</f>
        <v>0</v>
      </c>
      <c r="J28" s="18">
        <f>SUM(H28:I28)</f>
        <v>0</v>
      </c>
      <c r="L28" s="60">
        <f>IFERROR(IF((L27-($C$9*$S$12))&lt;0,0,L27-($C$9*$S$12)),0)</f>
        <v>0</v>
      </c>
      <c r="M28" s="47"/>
      <c r="N28" s="56">
        <f>IFERROR(IF((N27-$C$9)&lt;0,0,N27-($C$9*$S$12)),0)</f>
        <v>0</v>
      </c>
      <c r="O28" s="13">
        <f>IF($C$11="Yes",IF(O27&lt;=0,0,IF(L29&lt;=0,L28-L29,L28-L29+$T$36)),IF(O27&lt;=0,0,L28-L29))</f>
        <v>0</v>
      </c>
      <c r="P28" s="59">
        <f>IF($C$11="Yes",IF(P27&lt;=0,0,IF(N29&lt;=0,N28-N29,N28-N29+$T$36)),IF(P27&lt;=0,0,N28-N29))</f>
        <v>0</v>
      </c>
      <c r="Q28" s="16"/>
    </row>
    <row r="29" spans="2:17" x14ac:dyDescent="0.25">
      <c r="B29" s="17" t="s">
        <v>8</v>
      </c>
      <c r="C29" s="15">
        <f t="shared" si="0"/>
        <v>0</v>
      </c>
      <c r="D29" s="15">
        <f>IF(L29&gt;($C$9*$S$12),$C$9*$S$12*$L$4,L29*$L$4)</f>
        <v>0</v>
      </c>
      <c r="E29" s="18">
        <f t="shared" si="1"/>
        <v>0</v>
      </c>
      <c r="G29" s="17" t="s">
        <v>8</v>
      </c>
      <c r="H29" s="15">
        <f t="shared" si="2"/>
        <v>0</v>
      </c>
      <c r="I29" s="15">
        <f t="shared" si="3"/>
        <v>0</v>
      </c>
      <c r="J29" s="18">
        <f t="shared" ref="J29:J38" si="4">SUM(H29:I29)</f>
        <v>0</v>
      </c>
      <c r="L29" s="60">
        <f>IF($C$11="yes",IF(((L28+$T$36)-($C$9*$S$12))&lt;=0,0,(L28+$T$36)-($C$9*$S$12)),IFERROR(IF((L28-($C$9*$S$12))&lt;0,0,L28-($C$9*$S$12)),0))</f>
        <v>0</v>
      </c>
      <c r="M29" s="47"/>
      <c r="N29" s="56">
        <f>IF($C$11="yes",IF(((N28+$T$36)-($C$9*$S$12))&lt;=0,0,(N28+$T$36)-($C$9*$S$12)),IFERROR(IF((N28-$C$9)&lt;0,0,N28-($C$9*$S$12)),0))</f>
        <v>0</v>
      </c>
      <c r="O29" s="13">
        <f>L29-L30</f>
        <v>0</v>
      </c>
      <c r="P29" s="59">
        <f>N29-N30</f>
        <v>0</v>
      </c>
      <c r="Q29" s="16"/>
    </row>
    <row r="30" spans="2:17" x14ac:dyDescent="0.25">
      <c r="B30" s="17" t="s">
        <v>9</v>
      </c>
      <c r="C30" s="15">
        <f t="shared" si="0"/>
        <v>0</v>
      </c>
      <c r="D30" s="15">
        <f>IF(L30&gt;($C$9*$S$12),$C$9*$S$12*$L$4,L30*$L$4)</f>
        <v>0</v>
      </c>
      <c r="E30" s="18">
        <f t="shared" si="1"/>
        <v>0</v>
      </c>
      <c r="G30" s="17" t="s">
        <v>9</v>
      </c>
      <c r="H30" s="15">
        <f t="shared" si="2"/>
        <v>0</v>
      </c>
      <c r="I30" s="15">
        <f t="shared" si="3"/>
        <v>0</v>
      </c>
      <c r="J30" s="18">
        <f t="shared" si="4"/>
        <v>0</v>
      </c>
      <c r="L30" s="60">
        <f>IF((L29-($C$9*$S$12))&lt;0,0,L29-($C$9*$S$12))</f>
        <v>0</v>
      </c>
      <c r="M30" s="47"/>
      <c r="N30" s="56">
        <f>IF((N29-($C$9*$S$12))&lt;0,0,N29-($C$9*$S$12))</f>
        <v>0</v>
      </c>
      <c r="O30" s="13">
        <f>IF($C$11="Yes",IF(O28&lt;=0,0,IF(L31&lt;=0,L30-L31,L30-L31+$T$36)),IF(O28&lt;=0,0,L30-L31))</f>
        <v>0</v>
      </c>
      <c r="P30" s="59">
        <f>IF($C$11="Yes",IF(P29&lt;=0,0,IF(N31&lt;=0,N30-N31,N30-N31+$T$36)),IF(P29&lt;=0,0,N30-N31))</f>
        <v>0</v>
      </c>
      <c r="Q30" s="16"/>
    </row>
    <row r="31" spans="2:17" x14ac:dyDescent="0.25">
      <c r="B31" s="17" t="s">
        <v>10</v>
      </c>
      <c r="C31" s="15">
        <f t="shared" si="0"/>
        <v>0</v>
      </c>
      <c r="D31" s="15">
        <f>IF(L31&gt;($C$9*$S$12),$C$9*$S$12*$L$4,L31*$L$4)</f>
        <v>0</v>
      </c>
      <c r="E31" s="18">
        <f t="shared" si="1"/>
        <v>0</v>
      </c>
      <c r="G31" s="17" t="s">
        <v>10</v>
      </c>
      <c r="H31" s="15">
        <f t="shared" si="2"/>
        <v>0</v>
      </c>
      <c r="I31" s="15">
        <f t="shared" si="3"/>
        <v>0</v>
      </c>
      <c r="J31" s="18">
        <f t="shared" si="4"/>
        <v>0</v>
      </c>
      <c r="L31" s="60">
        <f>IF($C$11="yes",IF(((L30+$T$36)-($C$9*$S$12))&lt;=0,0,(L30+$T$36)-($C$9*$S$12)),IFERROR(IF((L30-($C$9*$S$12))&lt;0,0,L30-($C$9*$S$12)),0))</f>
        <v>0</v>
      </c>
      <c r="M31" s="47" t="s">
        <v>55</v>
      </c>
      <c r="N31" s="56">
        <f>IF($C$11="yes",IF(((N30+$T$36)-($C$9*$S$12))&lt;=0,0,(N30+$T$36)-($C$9*$S$12)),IFERROR(IF((N30-$C$9)&lt;0,0,N30-($C$9*$S$12)),0))</f>
        <v>0</v>
      </c>
      <c r="O31" s="13">
        <f>L31-L32</f>
        <v>0</v>
      </c>
      <c r="P31" s="59">
        <f>N31-N32</f>
        <v>0</v>
      </c>
      <c r="Q31" s="16"/>
    </row>
    <row r="32" spans="2:17" x14ac:dyDescent="0.25">
      <c r="B32" s="17" t="s">
        <v>11</v>
      </c>
      <c r="C32" s="15">
        <f t="shared" ref="C32:C38" si="5">IF($C$10="Yes",0,IF(($C$5*0.6)&gt;2500,2500,$C$5*0.6))</f>
        <v>0</v>
      </c>
      <c r="D32" s="15">
        <f t="shared" ref="D32:D38" si="6">IF($C$10="Yes",IF(M32&gt;($C$9),$C$9*$L$4,M32*$L$4),IF(L32&gt;($C$9*$S$12),$C$9*$S$12*$L$4,L32*$L$4))</f>
        <v>0</v>
      </c>
      <c r="E32" s="18">
        <f t="shared" si="1"/>
        <v>0</v>
      </c>
      <c r="G32" s="17" t="s">
        <v>11</v>
      </c>
      <c r="H32" s="15">
        <f t="shared" si="2"/>
        <v>0</v>
      </c>
      <c r="I32" s="15">
        <f t="shared" si="3"/>
        <v>0</v>
      </c>
      <c r="J32" s="18">
        <f t="shared" si="4"/>
        <v>0</v>
      </c>
      <c r="L32" s="60">
        <f>IF((L31-($C$9*$S$12))&lt;0,0,L31-($C$9*$S$12))</f>
        <v>0</v>
      </c>
      <c r="M32" s="13">
        <f>IF((L31-($C$9*$S$12))&lt;0,0,L31-($C$9*$S$12))</f>
        <v>0</v>
      </c>
      <c r="N32" s="56">
        <f>IF((N31-($C$9*$S$12))&lt;0,0,N31-($C$9*$S$12))</f>
        <v>0</v>
      </c>
      <c r="O32" s="13">
        <f>IF($C$10="Yes",IF($C$11="Yes",IF(O31&lt;=0,0,IF(M33&lt;=0,M32-M33,M32-M33+$T$36)),IF(O31&lt;=0,0,M32-M33)),IF($C$11="Yes",IF(O31&lt;=0,0,IF(L33&lt;=0,L32-L33,L32-L33+$T$36)),IF(O31&lt;=0,0,L32-L33)))</f>
        <v>0</v>
      </c>
      <c r="P32" s="59">
        <f>IF($C$11="Yes",IF(P31&lt;=0,0,IF(N33&lt;=0,N32-N33,N32-N33+$T$36)),IF(P31&lt;=0,0,N32-N33))</f>
        <v>0</v>
      </c>
      <c r="Q32" s="16"/>
    </row>
    <row r="33" spans="2:26" x14ac:dyDescent="0.25">
      <c r="B33" s="17" t="s">
        <v>12</v>
      </c>
      <c r="C33" s="15">
        <f t="shared" si="5"/>
        <v>0</v>
      </c>
      <c r="D33" s="15">
        <f t="shared" si="6"/>
        <v>0</v>
      </c>
      <c r="E33" s="18">
        <f t="shared" si="1"/>
        <v>0</v>
      </c>
      <c r="G33" s="17" t="s">
        <v>12</v>
      </c>
      <c r="H33" s="15">
        <f t="shared" si="2"/>
        <v>0</v>
      </c>
      <c r="I33" s="15">
        <f t="shared" si="3"/>
        <v>0</v>
      </c>
      <c r="J33" s="18">
        <f t="shared" si="4"/>
        <v>0</v>
      </c>
      <c r="L33" s="60">
        <f>IF($C$11="yes",IF(((L32+$T$36)-($C$9*$S$12))&lt;=0,0,(L32+$T$36)-($C$9*$S$12)),IFERROR(IF((L32-($C$9*$S$12))&lt;0,0,L32-($C$9*$S$12)),0))</f>
        <v>0</v>
      </c>
      <c r="M33" s="13">
        <f>IF($C$11="yes",IF(((M32+$T$36)-($C$9))&lt;=0,0,(M32+$T$36)-($C$9)),IFERROR(IF((M32-$C$9)&lt;0,0,M32-$C$9),0))</f>
        <v>0</v>
      </c>
      <c r="N33" s="56">
        <f>IF($C$11="yes",IF(((N32+$T$36)-($C$9*$S$12))&lt;=0,0,(N32+$T$36)-($C$9*$S$12)),IFERROR(IF((N32-$C$9)&lt;0,0,N32-($C$9*$S$12)),0))</f>
        <v>0</v>
      </c>
      <c r="O33" s="13">
        <f>IF($C$10="yes",M33-M34,L33-L34)</f>
        <v>0</v>
      </c>
      <c r="P33" s="59">
        <f>N33-N34</f>
        <v>0</v>
      </c>
      <c r="Q33" s="16"/>
    </row>
    <row r="34" spans="2:26" x14ac:dyDescent="0.25">
      <c r="B34" s="17" t="s">
        <v>13</v>
      </c>
      <c r="C34" s="15">
        <f t="shared" si="5"/>
        <v>0</v>
      </c>
      <c r="D34" s="15">
        <f t="shared" si="6"/>
        <v>0</v>
      </c>
      <c r="E34" s="18">
        <f t="shared" si="1"/>
        <v>0</v>
      </c>
      <c r="G34" s="17" t="s">
        <v>13</v>
      </c>
      <c r="H34" s="15">
        <f t="shared" si="2"/>
        <v>0</v>
      </c>
      <c r="I34" s="15">
        <f t="shared" si="3"/>
        <v>0</v>
      </c>
      <c r="J34" s="18">
        <f t="shared" si="4"/>
        <v>0</v>
      </c>
      <c r="L34" s="60">
        <f>IF((L33-($C$9*$S$12))&lt;0,0,L33-($C$9*$S$12))</f>
        <v>0</v>
      </c>
      <c r="M34" s="13">
        <f>IF((M33-($C$9))&lt;0,0,M33-($C$9))</f>
        <v>0</v>
      </c>
      <c r="N34" s="56">
        <f>IF((N33-($C$9*$S$12))&lt;0,0,N33-($C$9*$S$12))</f>
        <v>0</v>
      </c>
      <c r="O34" s="13">
        <f>IF($C$10="Yes",IF($C$11="Yes",IF(O33&lt;=0,0,IF(M35&lt;=0,M34-M35,M34-M35+$T$36)),IF(O33&lt;=0,0,M34-M35)),IF($C$11="Yes",IF(O33&lt;=0,0,IF(L35&lt;=0,L34-L35,L34-L35+$T$36)),IF(O33&lt;=0,0,L34-L35)))</f>
        <v>0</v>
      </c>
      <c r="P34" s="59">
        <f>IF($C$11="Yes",IF(P33&lt;=0,0,IF(N35&lt;=0,N34-N35,N34-N35+$T$36)),IF(P33&lt;=0,0,N34-N35))</f>
        <v>0</v>
      </c>
      <c r="Q34" s="16"/>
    </row>
    <row r="35" spans="2:26" ht="15.75" thickBot="1" x14ac:dyDescent="0.3">
      <c r="B35" s="17" t="s">
        <v>14</v>
      </c>
      <c r="C35" s="15">
        <f t="shared" si="5"/>
        <v>0</v>
      </c>
      <c r="D35" s="15">
        <f t="shared" si="6"/>
        <v>0</v>
      </c>
      <c r="E35" s="18">
        <f t="shared" si="1"/>
        <v>0</v>
      </c>
      <c r="G35" s="17" t="s">
        <v>14</v>
      </c>
      <c r="H35" s="15">
        <f t="shared" si="2"/>
        <v>0</v>
      </c>
      <c r="I35" s="15">
        <f t="shared" si="3"/>
        <v>0</v>
      </c>
      <c r="J35" s="18">
        <f t="shared" si="4"/>
        <v>0</v>
      </c>
      <c r="L35" s="60">
        <f>IF($C$11="yes",IF(((L34+$T$36)-($C$9*$S$12))&lt;=0,0,(L34+$T$36)-($C$9*$S$12)),IFERROR(IF((L34-($C$9*$S$12))&lt;0,0,L34-($C$9*$S$12)),0))</f>
        <v>0</v>
      </c>
      <c r="M35" s="13">
        <f>IF($C$11="yes",IF(((M34+$T$36)-($C$9))&lt;=0,0,(M34+$T$36)-($C$9)),IFERROR(IF((M34-$C$9)&lt;0,0,M34-$C$9),0))</f>
        <v>0</v>
      </c>
      <c r="N35" s="56">
        <f>IF($C$11="yes",IF(((N34+$T$36)-($C$9*$S$12))&lt;=0,0,(N34+$T$36)-($C$9*$S$12)),IFERROR(IF((N34-$C$9)&lt;0,0,N34-($C$9*$S$12)),0))</f>
        <v>0</v>
      </c>
      <c r="O35" s="13">
        <f>IF($C$10="yes",M35-M36,L35-L36)</f>
        <v>0</v>
      </c>
      <c r="P35" s="59">
        <f>N35-N36</f>
        <v>0</v>
      </c>
      <c r="Q35" s="16"/>
    </row>
    <row r="36" spans="2:26" ht="15.75" thickBot="1" x14ac:dyDescent="0.3">
      <c r="B36" s="17" t="s">
        <v>15</v>
      </c>
      <c r="C36" s="15">
        <f t="shared" si="5"/>
        <v>0</v>
      </c>
      <c r="D36" s="15">
        <f t="shared" si="6"/>
        <v>0</v>
      </c>
      <c r="E36" s="18">
        <f t="shared" si="1"/>
        <v>0</v>
      </c>
      <c r="G36" s="17" t="s">
        <v>15</v>
      </c>
      <c r="H36" s="15">
        <f t="shared" si="2"/>
        <v>0</v>
      </c>
      <c r="I36" s="15">
        <f t="shared" si="3"/>
        <v>0</v>
      </c>
      <c r="J36" s="18">
        <f t="shared" si="4"/>
        <v>0</v>
      </c>
      <c r="L36" s="60">
        <f>IF((L35-($C$9*$S$12))&lt;0,0,L35-($C$9*$S$12))</f>
        <v>0</v>
      </c>
      <c r="M36" s="13">
        <f>IF((M35-($C$9))&lt;0,0,M35-($C$9))</f>
        <v>0</v>
      </c>
      <c r="N36" s="56">
        <f>IF((N35-($C$9*$S$12))&lt;0,0,N35-($C$9*$S$12))</f>
        <v>0</v>
      </c>
      <c r="O36" s="13">
        <f>IF($C$10="Yes",IF($C$11="Yes",IF(O35&lt;=0,0,IF(M37&lt;=0,M36-M37,M36-M37+$T$36)),IF(O35&lt;=0,0,M36-M37)),IF($C$11="Yes",IF(O35&lt;=0,0,IF(L37&lt;=0,L36-L37,L36-L37+$T$36)),IF(O35&lt;=0,0,L36-L37)))</f>
        <v>0</v>
      </c>
      <c r="P36" s="59">
        <f>IF($C$11="Yes",IF(P35&lt;=0,0,IF(N37&lt;=0,N36-N37,N36-N37+$T$36)),IF(P35&lt;=0,0,N36-N37))</f>
        <v>0</v>
      </c>
      <c r="Q36" s="16"/>
      <c r="R36" s="93" t="s">
        <v>38</v>
      </c>
      <c r="S36" s="94"/>
      <c r="T36" s="48">
        <f ca="1">IFERROR(INDEX(U42:Z50,U57,U54),0)</f>
        <v>0</v>
      </c>
    </row>
    <row r="37" spans="2:26" x14ac:dyDescent="0.25">
      <c r="B37" s="17" t="s">
        <v>16</v>
      </c>
      <c r="C37" s="15">
        <f t="shared" si="5"/>
        <v>0</v>
      </c>
      <c r="D37" s="15">
        <f t="shared" si="6"/>
        <v>0</v>
      </c>
      <c r="E37" s="18">
        <f t="shared" si="1"/>
        <v>0</v>
      </c>
      <c r="G37" s="17" t="s">
        <v>16</v>
      </c>
      <c r="H37" s="15">
        <f t="shared" si="2"/>
        <v>0</v>
      </c>
      <c r="I37" s="15">
        <f t="shared" si="3"/>
        <v>0</v>
      </c>
      <c r="J37" s="18">
        <f t="shared" si="4"/>
        <v>0</v>
      </c>
      <c r="L37" s="60">
        <f>IF($C$11="yes",IF(((L36+$T$36)-($C$9*$S$12))&lt;=0,0,(L36+$T$36)-($C$9*$S$12)),IFERROR(IF((L36-($C$9*$S$12))&lt;0,0,L36-($C$9*$S$12)),0))</f>
        <v>0</v>
      </c>
      <c r="M37" s="13">
        <f>IF($C$11="yes",IF(((M36+$T$36)-($C$9))&lt;=0,0,(M36+$T$36)-($C$9)),IFERROR(IF((M36-$C$9)&lt;0,0,M36-$C$9),0))</f>
        <v>0</v>
      </c>
      <c r="N37" s="56">
        <f>IF($C$11="yes",IF(((N36+$T$36)-($C$9*$S$12))&lt;=0,0,(N36+$T$36)-($C$9*$S$12)),IFERROR(IF((N36-$C$9)&lt;0,0,N36-($C$9*$S$12)),0))</f>
        <v>0</v>
      </c>
      <c r="O37" s="13">
        <f>IF($C$10="yes",M37-M38,L37-L38)</f>
        <v>0</v>
      </c>
      <c r="P37" s="59">
        <f>N37-N38</f>
        <v>0</v>
      </c>
      <c r="Q37" s="16"/>
    </row>
    <row r="38" spans="2:26" ht="15.75" thickBot="1" x14ac:dyDescent="0.3">
      <c r="B38" s="19" t="s">
        <v>17</v>
      </c>
      <c r="C38" s="20">
        <f t="shared" si="5"/>
        <v>0</v>
      </c>
      <c r="D38" s="20">
        <f t="shared" si="6"/>
        <v>0</v>
      </c>
      <c r="E38" s="21">
        <f t="shared" si="1"/>
        <v>0</v>
      </c>
      <c r="G38" s="19" t="s">
        <v>17</v>
      </c>
      <c r="H38" s="20">
        <f t="shared" si="2"/>
        <v>0</v>
      </c>
      <c r="I38" s="20">
        <f t="shared" si="3"/>
        <v>0</v>
      </c>
      <c r="J38" s="21">
        <f t="shared" si="4"/>
        <v>0</v>
      </c>
      <c r="L38" s="60">
        <f>IF((L37-($C$9*$S$12))&lt;0,0,L37-($C$9*$S$12))</f>
        <v>0</v>
      </c>
      <c r="M38" s="13">
        <f>IF((M37-($C$9))&lt;0,0,M37-($C$9))</f>
        <v>0</v>
      </c>
      <c r="N38" s="56">
        <f>IF((N37-($C$9*$S$12))&lt;0,0,N37-($C$9*$S$12))</f>
        <v>0</v>
      </c>
      <c r="O38" s="13">
        <f>IF($C$10="Yes",IF($C$11="Yes",IF(O37&lt;=0,0,IF(M39&lt;=0,M38-M39,M38-M39+$T$36)),IF(O37&lt;=0,0,M38-M39)),IF($C$11="Yes",IF(O37&lt;=0,0,IF(L39&lt;=0,L38-L39,L38-L39+$T$36)),IF(O37&lt;=0,0,L38-L39)))</f>
        <v>0</v>
      </c>
      <c r="P38" s="59">
        <f>IF($C$11="Yes",IF(P37&lt;=0,0,IF(N39&lt;=0,N38-N39,N38-N39+$T$36)),IF(P37&lt;=0,0,N38-N39))</f>
        <v>0</v>
      </c>
      <c r="Q38" s="16"/>
    </row>
    <row r="39" spans="2:26" ht="15.75" thickBot="1" x14ac:dyDescent="0.3">
      <c r="L39" s="60">
        <f>IF($C$11="yes",IF(((L38+$T$36)-($C$9*$S$12))&lt;=0,0,(L38+$T$36)-($C$9*$S$12)),IFERROR(IF((L38-($C$9*$S$12))&lt;0,0,L38-($C$9*$S$12)),0))</f>
        <v>0</v>
      </c>
      <c r="M39" s="13">
        <f>IF($C$11="yes",IF(((M38+$T$36)-($C$9))&lt;=0,0,(M38+$T$36)-($C$9)),IFERROR(IF((M38-$C$9)&lt;0,0,M38-$C$9),0))</f>
        <v>0</v>
      </c>
      <c r="N39" s="56">
        <f>IF($C$11="yes",IF(((N38+$T$36)-($C$9*$S$12))&lt;=0,0,(N38+$T$36)-($C$9*$S$12)),IFERROR(IF((N38-$C$9)&lt;0,0,N38-($C$9*$S$12)),0))</f>
        <v>0</v>
      </c>
      <c r="O39" s="47"/>
      <c r="P39" s="61"/>
      <c r="Q39" s="16"/>
      <c r="S39" s="39" t="s">
        <v>46</v>
      </c>
      <c r="T39" s="40">
        <f ca="1">TODAY()</f>
        <v>43377</v>
      </c>
    </row>
    <row r="40" spans="2:26" ht="15.75" thickBot="1" x14ac:dyDescent="0.3">
      <c r="B40" s="41" t="s">
        <v>71</v>
      </c>
      <c r="C40" s="57"/>
      <c r="D40" s="57"/>
      <c r="E40" s="57"/>
      <c r="F40" s="57"/>
      <c r="G40" s="57"/>
      <c r="H40" s="57"/>
      <c r="I40" s="57"/>
      <c r="J40" s="42"/>
      <c r="L40" s="62"/>
      <c r="M40" s="63"/>
      <c r="N40" s="64"/>
      <c r="O40" s="63">
        <f>SUM(O26:O38)</f>
        <v>0</v>
      </c>
      <c r="P40" s="65">
        <f>SUM(P26:P38)</f>
        <v>0</v>
      </c>
      <c r="Q40" s="16"/>
      <c r="U40" s="92" t="s">
        <v>37</v>
      </c>
      <c r="V40" s="92"/>
      <c r="W40" s="92"/>
      <c r="X40" s="92"/>
      <c r="Y40" s="92"/>
      <c r="Z40" s="92"/>
    </row>
    <row r="41" spans="2:26" ht="15" customHeight="1" x14ac:dyDescent="0.25">
      <c r="B41" s="98" t="s">
        <v>31</v>
      </c>
      <c r="C41" s="90"/>
      <c r="D41" s="90"/>
      <c r="E41" s="90"/>
      <c r="F41" s="90"/>
      <c r="G41" s="90"/>
      <c r="H41" s="90"/>
      <c r="I41" s="90"/>
      <c r="J41" s="99"/>
      <c r="L41" s="16"/>
      <c r="M41" s="16"/>
      <c r="R41" s="28" t="s">
        <v>45</v>
      </c>
      <c r="S41" s="35" t="s">
        <v>36</v>
      </c>
      <c r="T41" s="3" t="s">
        <v>48</v>
      </c>
      <c r="U41" s="3" t="s">
        <v>39</v>
      </c>
      <c r="V41" s="32" t="s">
        <v>41</v>
      </c>
      <c r="W41" s="3" t="s">
        <v>42</v>
      </c>
      <c r="X41" s="3" t="s">
        <v>43</v>
      </c>
      <c r="Y41" s="3" t="s">
        <v>44</v>
      </c>
      <c r="Z41" s="3" t="s">
        <v>40</v>
      </c>
    </row>
    <row r="42" spans="2:26" ht="27.75" customHeight="1" thickBot="1" x14ac:dyDescent="0.3">
      <c r="B42" s="100" t="s">
        <v>72</v>
      </c>
      <c r="C42" s="101"/>
      <c r="D42" s="101"/>
      <c r="E42" s="101"/>
      <c r="F42" s="101"/>
      <c r="G42" s="101"/>
      <c r="H42" s="101"/>
      <c r="I42" s="101"/>
      <c r="J42" s="102"/>
      <c r="R42" s="29">
        <v>0</v>
      </c>
      <c r="S42" s="30">
        <f>C8</f>
        <v>0</v>
      </c>
      <c r="T42" s="11">
        <v>1</v>
      </c>
      <c r="U42" s="29">
        <v>5.23</v>
      </c>
      <c r="V42" s="13">
        <v>4.71</v>
      </c>
      <c r="W42" s="13">
        <v>4.57</v>
      </c>
      <c r="X42" s="13">
        <v>4.18</v>
      </c>
      <c r="Y42" s="13">
        <v>4.05</v>
      </c>
      <c r="Z42" s="13">
        <v>3.92</v>
      </c>
    </row>
    <row r="43" spans="2:26" ht="34.5" customHeight="1" x14ac:dyDescent="0.25">
      <c r="B43" s="97"/>
      <c r="R43" s="29">
        <v>1</v>
      </c>
      <c r="S43" s="30">
        <f>DATE(YEAR(S42)+1,MONTH(S42),DAY(S42))</f>
        <v>366</v>
      </c>
      <c r="T43" s="11">
        <v>2</v>
      </c>
      <c r="U43" s="29">
        <v>5.54</v>
      </c>
      <c r="V43" s="13">
        <v>4.9800000000000004</v>
      </c>
      <c r="W43" s="13">
        <v>4.84</v>
      </c>
      <c r="X43" s="13">
        <v>4.43</v>
      </c>
      <c r="Y43" s="13">
        <v>4.29</v>
      </c>
      <c r="Z43" s="13">
        <v>4.1500000000000004</v>
      </c>
    </row>
    <row r="44" spans="2:26" x14ac:dyDescent="0.25">
      <c r="R44" s="29">
        <v>2</v>
      </c>
      <c r="S44" s="30">
        <f t="shared" ref="S44:S47" si="7">DATE(YEAR(S43)+1,MONTH(S43),DAY(S43))</f>
        <v>731</v>
      </c>
      <c r="T44" s="11">
        <v>3</v>
      </c>
      <c r="U44" s="29">
        <v>5.85</v>
      </c>
      <c r="V44" s="13">
        <v>5.26</v>
      </c>
      <c r="W44" s="13">
        <v>5.1100000000000003</v>
      </c>
      <c r="X44" s="13">
        <v>4.67</v>
      </c>
      <c r="Y44" s="13">
        <v>4.53</v>
      </c>
      <c r="Z44" s="13">
        <v>4.38</v>
      </c>
    </row>
    <row r="45" spans="2:26" hidden="1" x14ac:dyDescent="0.25">
      <c r="O45" s="37"/>
      <c r="P45" s="37"/>
      <c r="Q45" s="37"/>
      <c r="R45" s="29">
        <v>3</v>
      </c>
      <c r="S45" s="30">
        <f t="shared" si="7"/>
        <v>1096</v>
      </c>
      <c r="T45" s="38">
        <v>4</v>
      </c>
      <c r="U45" s="29">
        <v>6.5</v>
      </c>
      <c r="V45" s="13">
        <v>5.54</v>
      </c>
      <c r="W45" s="13">
        <v>5.38</v>
      </c>
      <c r="X45" s="13">
        <v>4.92</v>
      </c>
      <c r="Y45" s="13">
        <v>4.7699999999999996</v>
      </c>
      <c r="Z45" s="13">
        <v>4.62</v>
      </c>
    </row>
    <row r="46" spans="2:26" ht="15.75" hidden="1" thickBot="1" x14ac:dyDescent="0.3">
      <c r="B46" s="22"/>
      <c r="C46" s="23"/>
      <c r="D46" s="23"/>
      <c r="E46" s="24"/>
      <c r="F46" s="16"/>
      <c r="R46" s="29">
        <v>4</v>
      </c>
      <c r="S46" s="30">
        <f t="shared" si="7"/>
        <v>1461</v>
      </c>
      <c r="T46" s="11">
        <v>5</v>
      </c>
      <c r="U46" s="29">
        <v>6.46</v>
      </c>
      <c r="V46" s="13">
        <v>5.82</v>
      </c>
      <c r="W46" s="13">
        <v>5.65</v>
      </c>
      <c r="X46" s="13">
        <v>5.17</v>
      </c>
      <c r="Y46" s="13">
        <v>5.01</v>
      </c>
      <c r="Z46" s="13">
        <v>4.8499999999999996</v>
      </c>
    </row>
    <row r="47" spans="2:26" ht="34.5" hidden="1" customHeight="1" thickBot="1" x14ac:dyDescent="0.3">
      <c r="G47" s="66" t="s">
        <v>33</v>
      </c>
      <c r="H47" s="67" t="s">
        <v>21</v>
      </c>
      <c r="I47" s="67" t="s">
        <v>34</v>
      </c>
      <c r="J47" s="68" t="s">
        <v>26</v>
      </c>
      <c r="N47" s="57"/>
      <c r="O47" s="42" t="s">
        <v>58</v>
      </c>
      <c r="R47" s="29">
        <v>5</v>
      </c>
      <c r="S47" s="30">
        <f t="shared" si="7"/>
        <v>1827</v>
      </c>
      <c r="T47" s="11">
        <v>6</v>
      </c>
      <c r="U47" s="29">
        <v>6.77</v>
      </c>
      <c r="V47" s="13">
        <v>6.09</v>
      </c>
      <c r="W47" s="13">
        <v>5.92</v>
      </c>
      <c r="X47" s="13">
        <v>5.41</v>
      </c>
      <c r="Y47" s="13">
        <v>5.25</v>
      </c>
      <c r="Z47" s="13">
        <v>5.08</v>
      </c>
    </row>
    <row r="48" spans="2:26" hidden="1" x14ac:dyDescent="0.25">
      <c r="G48" s="25" t="s">
        <v>5</v>
      </c>
      <c r="H48" s="26">
        <v>0</v>
      </c>
      <c r="I48" s="26">
        <f>IF($C$11="Yes",IF(($C$6+$C$7)&gt;$C$9,$C$9*$L$4,($C$6+$C$7)*$L$4),IF($C$7&gt;$C$9,$C$9*$L$4,$C$7*$L$4))</f>
        <v>0</v>
      </c>
      <c r="J48" s="27">
        <f>SUM(H48:I48)</f>
        <v>0</v>
      </c>
      <c r="N48" s="47" t="s">
        <v>54</v>
      </c>
      <c r="O48" s="59">
        <f ca="1">IF(N49=0,$C$6+$C$7,$C$6+$C$7-N49+$T$36)</f>
        <v>0</v>
      </c>
      <c r="Q48" s="47"/>
      <c r="R48" s="29">
        <v>10</v>
      </c>
      <c r="S48" s="30">
        <f>DATE(YEAR(S47)+5,MONTH(S47),DAY(S47))</f>
        <v>3653</v>
      </c>
      <c r="T48" s="11">
        <v>7</v>
      </c>
      <c r="U48" s="29">
        <v>8</v>
      </c>
      <c r="V48" s="13">
        <v>7.2</v>
      </c>
      <c r="W48" s="13">
        <v>7</v>
      </c>
      <c r="X48" s="13">
        <v>6.4</v>
      </c>
      <c r="Y48" s="13">
        <v>6.2</v>
      </c>
      <c r="Z48" s="13">
        <v>6</v>
      </c>
    </row>
    <row r="49" spans="7:26" hidden="1" x14ac:dyDescent="0.25">
      <c r="G49" s="17" t="s">
        <v>6</v>
      </c>
      <c r="H49" s="15">
        <v>0</v>
      </c>
      <c r="I49" s="15">
        <f t="shared" ref="I49:I60" ca="1" si="8">IF(N49&gt;($C$9),$C$9*$L$4,N49*$L$4)</f>
        <v>0</v>
      </c>
      <c r="J49" s="18">
        <f ca="1">SUM(H49:I49)</f>
        <v>0</v>
      </c>
      <c r="N49" s="56">
        <f ca="1">IFERROR(IF((($C$6+$C$7)-$C$9+$T$36)&lt;0,0,($C$6+$C$7)-$C$9+$T$36),0)</f>
        <v>0</v>
      </c>
      <c r="O49" s="59">
        <f ca="1">N49-N50</f>
        <v>0</v>
      </c>
      <c r="Q49" s="56"/>
      <c r="R49" s="29">
        <v>15</v>
      </c>
      <c r="S49" s="30">
        <f>DATE(YEAR(S48)+5,MONTH(S48),DAY(S48))</f>
        <v>5479</v>
      </c>
      <c r="T49" s="38">
        <v>8</v>
      </c>
      <c r="U49" s="29">
        <v>8.6199999999999992</v>
      </c>
      <c r="V49" s="13">
        <v>7.75</v>
      </c>
      <c r="W49" s="13">
        <v>7.54</v>
      </c>
      <c r="X49" s="13">
        <v>6.89</v>
      </c>
      <c r="Y49" s="13">
        <v>6.68</v>
      </c>
      <c r="Z49" s="13">
        <v>6.46</v>
      </c>
    </row>
    <row r="50" spans="7:26" hidden="1" x14ac:dyDescent="0.25">
      <c r="G50" s="17" t="s">
        <v>7</v>
      </c>
      <c r="H50" s="15">
        <f t="shared" ref="H50:H60" ca="1" si="9">IF(N50&gt;0,0,IF(($C$5*0.6)&gt;1500,1500,$C$5*0.6))</f>
        <v>0</v>
      </c>
      <c r="I50" s="15">
        <f t="shared" ca="1" si="8"/>
        <v>0</v>
      </c>
      <c r="J50" s="18">
        <f ca="1">SUM(H50:I50)</f>
        <v>0</v>
      </c>
      <c r="N50" s="56">
        <f ca="1">IFERROR(IF((N49-$C$9)&lt;0,0,N49-($C$9)),0)</f>
        <v>0</v>
      </c>
      <c r="O50" s="59">
        <f ca="1">IF(O49&lt;=0,0,IF(N51&lt;=0,N50-N51,N50-N51+$T$36))</f>
        <v>0</v>
      </c>
      <c r="Q50" s="56"/>
      <c r="R50" s="29">
        <v>20</v>
      </c>
      <c r="S50" s="30">
        <f>DATE(YEAR(S49)+5,MONTH(S49),DAY(S49))</f>
        <v>7305</v>
      </c>
      <c r="T50" s="11">
        <v>9</v>
      </c>
      <c r="U50" s="29">
        <v>9.23</v>
      </c>
      <c r="V50" s="13">
        <v>8.31</v>
      </c>
      <c r="W50" s="13">
        <v>8.08</v>
      </c>
      <c r="X50" s="13">
        <v>7.38</v>
      </c>
      <c r="Y50" s="13">
        <v>7.15</v>
      </c>
      <c r="Z50" s="13">
        <v>6.92</v>
      </c>
    </row>
    <row r="51" spans="7:26" hidden="1" x14ac:dyDescent="0.25">
      <c r="G51" s="17" t="s">
        <v>8</v>
      </c>
      <c r="H51" s="15">
        <f t="shared" ca="1" si="9"/>
        <v>0</v>
      </c>
      <c r="I51" s="15">
        <f t="shared" ca="1" si="8"/>
        <v>0</v>
      </c>
      <c r="J51" s="18">
        <f t="shared" ref="J51:J60" ca="1" si="10">SUM(H51:I51)</f>
        <v>0</v>
      </c>
      <c r="N51" s="56">
        <f ca="1">IF(((N50+$T$36)-($C$9))&lt;=0,0,(N50+$T$36)-($C$9))</f>
        <v>0</v>
      </c>
      <c r="O51" s="59">
        <f ca="1">N51-N52</f>
        <v>0</v>
      </c>
      <c r="Q51" s="16"/>
    </row>
    <row r="52" spans="7:26" ht="15.75" hidden="1" thickBot="1" x14ac:dyDescent="0.3">
      <c r="G52" s="17" t="s">
        <v>9</v>
      </c>
      <c r="H52" s="15">
        <f t="shared" ca="1" si="9"/>
        <v>0</v>
      </c>
      <c r="I52" s="15">
        <f t="shared" ca="1" si="8"/>
        <v>0</v>
      </c>
      <c r="J52" s="18">
        <f t="shared" ca="1" si="10"/>
        <v>0</v>
      </c>
      <c r="N52" s="56">
        <f ca="1">IFERROR(IF((N51-$C$9)&lt;0,0,N51-($C$9)),0)</f>
        <v>0</v>
      </c>
      <c r="O52" s="59">
        <f ca="1">IF(O51&lt;=0,0,IF(N53&lt;=0,N52-N53,N52-N53+$T$36))</f>
        <v>0</v>
      </c>
      <c r="Q52" s="16"/>
    </row>
    <row r="53" spans="7:26" hidden="1" x14ac:dyDescent="0.25">
      <c r="G53" s="17" t="s">
        <v>10</v>
      </c>
      <c r="H53" s="15">
        <f t="shared" ca="1" si="9"/>
        <v>0</v>
      </c>
      <c r="I53" s="15">
        <f t="shared" ca="1" si="8"/>
        <v>0</v>
      </c>
      <c r="J53" s="18">
        <f t="shared" ca="1" si="10"/>
        <v>0</v>
      </c>
      <c r="N53" s="56">
        <f ca="1">IF(((N52+$T$36)-($C$9))&lt;=0,0,(N52+$T$36)-($C$9))</f>
        <v>0</v>
      </c>
      <c r="O53" s="59">
        <f ca="1">N53-N54</f>
        <v>0</v>
      </c>
      <c r="Q53" s="16"/>
      <c r="R53" s="36" t="s">
        <v>47</v>
      </c>
      <c r="S53" s="3" t="s">
        <v>48</v>
      </c>
      <c r="U53" s="41" t="s">
        <v>49</v>
      </c>
      <c r="V53" s="42"/>
    </row>
    <row r="54" spans="7:26" hidden="1" x14ac:dyDescent="0.25">
      <c r="G54" s="17" t="s">
        <v>11</v>
      </c>
      <c r="H54" s="15">
        <f t="shared" ca="1" si="9"/>
        <v>0</v>
      </c>
      <c r="I54" s="15">
        <f t="shared" ca="1" si="8"/>
        <v>0</v>
      </c>
      <c r="J54" s="18">
        <f t="shared" ca="1" si="10"/>
        <v>0</v>
      </c>
      <c r="N54" s="56">
        <f ca="1">IFERROR(IF((N53-$C$9)&lt;0,0,N53-($C$9)),0)</f>
        <v>0</v>
      </c>
      <c r="O54" s="59">
        <f ca="1">IF(O53&lt;=0,0,IF(N55&lt;=0,N54-N55,N54-N55+$T$36))</f>
        <v>0</v>
      </c>
      <c r="Q54" s="56"/>
      <c r="R54" s="11">
        <v>40</v>
      </c>
      <c r="S54" s="11">
        <v>1</v>
      </c>
      <c r="U54" s="49" t="e">
        <f>VLOOKUP(C9,$R$54:$S$64,2,FALSE)</f>
        <v>#N/A</v>
      </c>
      <c r="V54" s="50"/>
    </row>
    <row r="55" spans="7:26" hidden="1" x14ac:dyDescent="0.25">
      <c r="G55" s="17" t="s">
        <v>12</v>
      </c>
      <c r="H55" s="15">
        <f t="shared" ca="1" si="9"/>
        <v>0</v>
      </c>
      <c r="I55" s="15">
        <f t="shared" ca="1" si="8"/>
        <v>0</v>
      </c>
      <c r="J55" s="18">
        <f t="shared" ca="1" si="10"/>
        <v>0</v>
      </c>
      <c r="N55" s="56">
        <f ca="1">IF(((N54+$T$36)-($C$9))&lt;=0,0,(N54+$T$36)-($C$9))</f>
        <v>0</v>
      </c>
      <c r="O55" s="59">
        <f ca="1">N55-N56</f>
        <v>0</v>
      </c>
      <c r="Q55" s="56"/>
      <c r="R55" s="11">
        <v>39</v>
      </c>
      <c r="S55" s="11">
        <v>2</v>
      </c>
      <c r="U55" s="43"/>
      <c r="V55" s="44"/>
    </row>
    <row r="56" spans="7:26" hidden="1" x14ac:dyDescent="0.25">
      <c r="G56" s="17" t="s">
        <v>13</v>
      </c>
      <c r="H56" s="15">
        <f t="shared" ca="1" si="9"/>
        <v>0</v>
      </c>
      <c r="I56" s="15">
        <f t="shared" ca="1" si="8"/>
        <v>0</v>
      </c>
      <c r="J56" s="18">
        <f t="shared" ca="1" si="10"/>
        <v>0</v>
      </c>
      <c r="N56" s="56">
        <f ca="1">IFERROR(IF((N55-$C$9)&lt;0,0,N55-($C$9)),0)</f>
        <v>0</v>
      </c>
      <c r="O56" s="59">
        <f ca="1">IF(O55&lt;=0,0,IF(N57&lt;=0,N56-N57,N56-N57+$T$36))</f>
        <v>0</v>
      </c>
      <c r="Q56" s="56"/>
      <c r="R56" s="11">
        <v>38</v>
      </c>
      <c r="S56" s="11">
        <v>2</v>
      </c>
      <c r="U56" s="43" t="s">
        <v>50</v>
      </c>
      <c r="V56" s="44"/>
    </row>
    <row r="57" spans="7:26" ht="15.75" hidden="1" thickBot="1" x14ac:dyDescent="0.3">
      <c r="G57" s="17" t="s">
        <v>14</v>
      </c>
      <c r="H57" s="15">
        <f t="shared" ca="1" si="9"/>
        <v>0</v>
      </c>
      <c r="I57" s="15">
        <f t="shared" ca="1" si="8"/>
        <v>0</v>
      </c>
      <c r="J57" s="18">
        <f t="shared" ca="1" si="10"/>
        <v>0</v>
      </c>
      <c r="N57" s="56">
        <f ca="1">IF(((N56+$T$36)-($C$9))&lt;=0,0,(N56+$T$36)-($C$9))</f>
        <v>0</v>
      </c>
      <c r="O57" s="59">
        <f ca="1">N57-N58</f>
        <v>0</v>
      </c>
      <c r="Q57" s="56"/>
      <c r="R57" s="11">
        <v>37</v>
      </c>
      <c r="S57" s="11">
        <v>2</v>
      </c>
      <c r="U57" s="51">
        <f ca="1">VLOOKUP(T39,$S$42:$T$50,2,TRUE)</f>
        <v>9</v>
      </c>
      <c r="V57" s="52"/>
    </row>
    <row r="58" spans="7:26" hidden="1" x14ac:dyDescent="0.25">
      <c r="G58" s="17" t="s">
        <v>15</v>
      </c>
      <c r="H58" s="15">
        <f t="shared" ca="1" si="9"/>
        <v>0</v>
      </c>
      <c r="I58" s="15">
        <f t="shared" ca="1" si="8"/>
        <v>0</v>
      </c>
      <c r="J58" s="18">
        <f t="shared" ca="1" si="10"/>
        <v>0</v>
      </c>
      <c r="N58" s="56">
        <f ca="1">IFERROR(IF((N57-$C$9)&lt;0,0,N57-($C$9)),0)</f>
        <v>0</v>
      </c>
      <c r="O58" s="59">
        <f ca="1">IF(O57&lt;=0,0,IF(N59&lt;=0,N58-N59,N58-N59+$T$36))</f>
        <v>0</v>
      </c>
      <c r="Q58" s="56"/>
      <c r="R58" s="11">
        <v>36</v>
      </c>
      <c r="S58" s="11">
        <v>2</v>
      </c>
    </row>
    <row r="59" spans="7:26" hidden="1" x14ac:dyDescent="0.25">
      <c r="G59" s="17" t="s">
        <v>16</v>
      </c>
      <c r="H59" s="15">
        <f t="shared" ca="1" si="9"/>
        <v>0</v>
      </c>
      <c r="I59" s="15">
        <f t="shared" ca="1" si="8"/>
        <v>0</v>
      </c>
      <c r="J59" s="18">
        <f t="shared" ca="1" si="10"/>
        <v>0</v>
      </c>
      <c r="N59" s="56">
        <f ca="1">IF(((N58+$T$36)-($C$9))&lt;=0,0,(N58+$T$36)-($C$9))</f>
        <v>0</v>
      </c>
      <c r="O59" s="59">
        <f ca="1">N59-N60</f>
        <v>0</v>
      </c>
      <c r="Q59" s="56"/>
      <c r="R59" s="11">
        <v>35</v>
      </c>
      <c r="S59" s="11">
        <v>3</v>
      </c>
    </row>
    <row r="60" spans="7:26" ht="15.75" hidden="1" thickBot="1" x14ac:dyDescent="0.3">
      <c r="G60" s="19" t="s">
        <v>17</v>
      </c>
      <c r="H60" s="15">
        <f t="shared" ca="1" si="9"/>
        <v>0</v>
      </c>
      <c r="I60" s="15">
        <f t="shared" ca="1" si="8"/>
        <v>0</v>
      </c>
      <c r="J60" s="21">
        <f t="shared" ca="1" si="10"/>
        <v>0</v>
      </c>
      <c r="N60" s="56">
        <f ca="1">IFERROR(IF((N59-$C$9)&lt;0,0,N59-($C$9)),0)</f>
        <v>0</v>
      </c>
      <c r="O60" s="59">
        <f ca="1">IF(O59&lt;=0,0,IF(N61&lt;=0,N60-N61,N60-N61+$T$36))</f>
        <v>0</v>
      </c>
      <c r="Q60" s="56"/>
      <c r="R60" s="11">
        <v>34</v>
      </c>
      <c r="S60" s="11">
        <v>3</v>
      </c>
    </row>
    <row r="61" spans="7:26" hidden="1" x14ac:dyDescent="0.25">
      <c r="N61" s="56">
        <f ca="1">IF(((N60+$T$36)-($C$9))&lt;=0,0,(N60+$T$36)-($C$9))</f>
        <v>0</v>
      </c>
      <c r="O61" s="47"/>
      <c r="P61" s="61"/>
      <c r="Q61" s="56"/>
      <c r="R61" s="11">
        <v>33</v>
      </c>
      <c r="S61" s="11">
        <v>3</v>
      </c>
    </row>
    <row r="62" spans="7:26" x14ac:dyDescent="0.25">
      <c r="N62" s="56"/>
      <c r="O62" s="16">
        <f ca="1">SUM(O48:O60)</f>
        <v>0</v>
      </c>
      <c r="P62" s="61"/>
      <c r="Q62" s="16"/>
      <c r="R62" s="11">
        <v>32</v>
      </c>
      <c r="S62" s="11">
        <v>4</v>
      </c>
    </row>
    <row r="63" spans="7:26" x14ac:dyDescent="0.25">
      <c r="R63" s="11">
        <v>31</v>
      </c>
      <c r="S63" s="11">
        <v>5</v>
      </c>
    </row>
    <row r="64" spans="7:26" x14ac:dyDescent="0.25">
      <c r="R64" s="11">
        <v>30</v>
      </c>
      <c r="S64" s="11">
        <v>6</v>
      </c>
    </row>
    <row r="67" spans="18:19" x14ac:dyDescent="0.25">
      <c r="R67" s="46"/>
      <c r="S67" s="47"/>
    </row>
    <row r="68" spans="18:19" x14ac:dyDescent="0.25">
      <c r="R68" s="46"/>
      <c r="S68" s="47"/>
    </row>
    <row r="69" spans="18:19" x14ac:dyDescent="0.25">
      <c r="R69" s="46"/>
      <c r="S69" s="47"/>
    </row>
    <row r="70" spans="18:19" x14ac:dyDescent="0.25">
      <c r="R70" s="46"/>
      <c r="S70" s="37"/>
    </row>
    <row r="71" spans="18:19" x14ac:dyDescent="0.25">
      <c r="R71" s="46"/>
      <c r="S71" s="47"/>
    </row>
    <row r="72" spans="18:19" x14ac:dyDescent="0.25">
      <c r="R72" s="46"/>
      <c r="S72" s="47"/>
    </row>
    <row r="73" spans="18:19" x14ac:dyDescent="0.25">
      <c r="R73" s="46"/>
      <c r="S73" s="47"/>
    </row>
    <row r="74" spans="18:19" x14ac:dyDescent="0.25">
      <c r="R74" s="46"/>
      <c r="S74" s="37"/>
    </row>
    <row r="75" spans="18:19" x14ac:dyDescent="0.25">
      <c r="R75" s="46"/>
      <c r="S75" s="47"/>
    </row>
    <row r="76" spans="18:19" x14ac:dyDescent="0.25">
      <c r="R76" s="37"/>
    </row>
    <row r="77" spans="18:19" x14ac:dyDescent="0.25">
      <c r="R77" s="37"/>
    </row>
    <row r="78" spans="18:19" x14ac:dyDescent="0.25">
      <c r="R78" s="37"/>
    </row>
    <row r="79" spans="18:19" x14ac:dyDescent="0.25">
      <c r="R79" s="37"/>
    </row>
    <row r="80" spans="18:19" x14ac:dyDescent="0.25">
      <c r="R80" s="37"/>
    </row>
    <row r="81" spans="18:18" x14ac:dyDescent="0.25">
      <c r="R81" s="37"/>
    </row>
    <row r="82" spans="18:18" x14ac:dyDescent="0.25">
      <c r="R82" s="37"/>
    </row>
    <row r="83" spans="18:18" x14ac:dyDescent="0.25">
      <c r="R83" s="37"/>
    </row>
    <row r="84" spans="18:18" x14ac:dyDescent="0.25">
      <c r="R84" s="37"/>
    </row>
    <row r="85" spans="18:18" x14ac:dyDescent="0.25">
      <c r="R85" s="37"/>
    </row>
    <row r="86" spans="18:18" x14ac:dyDescent="0.25">
      <c r="R86" s="37"/>
    </row>
    <row r="87" spans="18:18" x14ac:dyDescent="0.25">
      <c r="R87" s="37"/>
    </row>
  </sheetData>
  <sheetProtection algorithmName="SHA-512" hashValue="yJ/Cpv119NrBbuq9dqsDP9bA/izI1dkB8qOgCwW+1l5h41LNB9fWZWQOF0iCsd1vTKgmL+9YcgNT7Gclw5vVtA==" saltValue="QJ6fhx7zfvGv5SrmEGCRbw==" spinCount="100000" sheet="1" selectLockedCells="1"/>
  <mergeCells count="8">
    <mergeCell ref="B42:J42"/>
    <mergeCell ref="B1:J1"/>
    <mergeCell ref="B2:J2"/>
    <mergeCell ref="B41:J41"/>
    <mergeCell ref="R7:S7"/>
    <mergeCell ref="U40:Z40"/>
    <mergeCell ref="R36:S36"/>
    <mergeCell ref="B15:E15"/>
  </mergeCells>
  <conditionalFormatting sqref="C4">
    <cfRule type="containsBlanks" dxfId="13" priority="16">
      <formula>LEN(TRIM(C4))=0</formula>
    </cfRule>
  </conditionalFormatting>
  <conditionalFormatting sqref="C6">
    <cfRule type="containsBlanks" dxfId="12" priority="15">
      <formula>LEN(TRIM(C6))=0</formula>
    </cfRule>
  </conditionalFormatting>
  <conditionalFormatting sqref="C7:C8">
    <cfRule type="containsBlanks" dxfId="11" priority="14">
      <formula>LEN(TRIM(C7))=0</formula>
    </cfRule>
  </conditionalFormatting>
  <conditionalFormatting sqref="C9">
    <cfRule type="containsBlanks" dxfId="10" priority="13">
      <formula>LEN(TRIM(C9))=0</formula>
    </cfRule>
  </conditionalFormatting>
  <conditionalFormatting sqref="C11:C12">
    <cfRule type="containsBlanks" dxfId="9" priority="12">
      <formula>LEN(TRIM(C11))=0</formula>
    </cfRule>
  </conditionalFormatting>
  <conditionalFormatting sqref="C10">
    <cfRule type="containsBlanks" dxfId="8" priority="11">
      <formula>LEN(TRIM(C10))=0</formula>
    </cfRule>
  </conditionalFormatting>
  <conditionalFormatting sqref="B13">
    <cfRule type="expression" dxfId="7" priority="9">
      <formula>$C$12="Yes"</formula>
    </cfRule>
    <cfRule type="cellIs" dxfId="6" priority="10" operator="equal">
      <formula>$C$12=Yes</formula>
    </cfRule>
  </conditionalFormatting>
  <conditionalFormatting sqref="C13">
    <cfRule type="expression" dxfId="5" priority="4">
      <formula>$C$12="No"</formula>
    </cfRule>
    <cfRule type="expression" dxfId="4" priority="8">
      <formula>$C$12="yes"</formula>
    </cfRule>
  </conditionalFormatting>
  <conditionalFormatting sqref="C20">
    <cfRule type="expression" dxfId="3" priority="7">
      <formula>$C$12="yes"</formula>
    </cfRule>
  </conditionalFormatting>
  <conditionalFormatting sqref="D20">
    <cfRule type="expression" dxfId="2" priority="6">
      <formula>$C$12="yes"</formula>
    </cfRule>
  </conditionalFormatting>
  <conditionalFormatting sqref="E17">
    <cfRule type="cellIs" dxfId="1" priority="3" operator="greaterThan">
      <formula>0</formula>
    </cfRule>
  </conditionalFormatting>
  <conditionalFormatting sqref="E18">
    <cfRule type="cellIs" dxfId="0" priority="1" operator="greaterThan">
      <formula>0</formula>
    </cfRule>
  </conditionalFormatting>
  <pageMargins left="0.7" right="0.7" top="0.75" bottom="0.75" header="0.3" footer="0.3"/>
  <pageSetup scale="82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Menus!$A$2:$A$3</xm:f>
          </x14:formula1>
          <xm:sqref>C10:C12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6" sqref="A6"/>
    </sheetView>
  </sheetViews>
  <sheetFormatPr defaultRowHeight="15" x14ac:dyDescent="0.25"/>
  <cols>
    <col min="1" max="1" width="16" bestFit="1" customWidth="1"/>
  </cols>
  <sheetData>
    <row r="1" spans="1:1" x14ac:dyDescent="0.25">
      <c r="A1" s="34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5" spans="1:1" x14ac:dyDescent="0.25">
      <c r="A5" s="34"/>
    </row>
    <row r="6" spans="1:1" x14ac:dyDescent="0.25">
      <c r="A6" s="33"/>
    </row>
    <row r="7" spans="1:1" x14ac:dyDescent="0.25">
      <c r="A7" s="33"/>
    </row>
    <row r="8" spans="1:1" x14ac:dyDescent="0.25">
      <c r="A8" s="33"/>
    </row>
    <row r="9" spans="1:1" x14ac:dyDescent="0.25">
      <c r="A9" s="33"/>
    </row>
    <row r="10" spans="1:1" x14ac:dyDescent="0.25">
      <c r="A10" s="33"/>
    </row>
    <row r="11" spans="1:1" x14ac:dyDescent="0.25">
      <c r="A11" s="3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Menus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Adam</dc:creator>
  <cp:lastModifiedBy>Murphy, Adam</cp:lastModifiedBy>
  <cp:lastPrinted>2018-09-27T14:54:12Z</cp:lastPrinted>
  <dcterms:created xsi:type="dcterms:W3CDTF">2018-09-24T14:06:36Z</dcterms:created>
  <dcterms:modified xsi:type="dcterms:W3CDTF">2018-10-04T16:40:41Z</dcterms:modified>
</cp:coreProperties>
</file>